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C Balancing Account\2020 RBA\"/>
    </mc:Choice>
  </mc:AlternateContent>
  <bookViews>
    <workbookView xWindow="0" yWindow="0" windowWidth="28800" windowHeight="12435" activeTab="2"/>
  </bookViews>
  <sheets>
    <sheet name="Index" sheetId="1" r:id="rId1"/>
    <sheet name="RMP_(THS-1)" sheetId="2" r:id="rId2"/>
    <sheet name="RMP_(THS-2)" sheetId="3" r:id="rId3"/>
    <sheet name="Page 2.1" sheetId="4" r:id="rId4"/>
    <sheet name="Page 2.2" sheetId="5" r:id="rId5"/>
  </sheets>
  <externalReferences>
    <externalReference r:id="rId6"/>
    <externalReference r:id="rId7"/>
    <externalReference r:id="rId8"/>
    <externalReference r:id="rId9"/>
    <externalReference r:id="rId10"/>
    <externalReference r:id="rId11"/>
    <externalReference r:id="rId12"/>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localSheetId="0"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localSheetId="3" hidden="1">[2]Inputs!#REF!</definedName>
    <definedName name="__123Graph_A" localSheetId="1" hidden="1">[2]Inputs!#REF!</definedName>
    <definedName name="__123Graph_A" localSheetId="2" hidden="1">[2]Inputs!#REF!</definedName>
    <definedName name="__123Graph_A" hidden="1">[2]Inputs!#REF!</definedName>
    <definedName name="__123Graph_B" localSheetId="0" hidden="1">[1]Inputs!#REF!</definedName>
    <definedName name="__123Graph_B" localSheetId="3" hidden="1">[2]Inputs!#REF!</definedName>
    <definedName name="__123Graph_B" localSheetId="1" hidden="1">[2]Inputs!#REF!</definedName>
    <definedName name="__123Graph_B" localSheetId="2" hidden="1">[2]Inputs!#REF!</definedName>
    <definedName name="__123Graph_B" hidden="1">[2]Inputs!#REF!</definedName>
    <definedName name="__123Graph_D" localSheetId="0" hidden="1">[1]Inputs!#REF!</definedName>
    <definedName name="__123Graph_D" localSheetId="3" hidden="1">[2]Inputs!#REF!</definedName>
    <definedName name="__123Graph_D" localSheetId="1" hidden="1">[2]Inputs!#REF!</definedName>
    <definedName name="__123Graph_D" localSheetId="2" hidden="1">[2]Inputs!#REF!</definedName>
    <definedName name="__123Graph_D" hidden="1">[2]Inputs!#REF!</definedName>
    <definedName name="__123Graph_E" localSheetId="0" hidden="1">[3]Input!$E$22:$E$37</definedName>
    <definedName name="__123Graph_E" hidden="1">[4]Input!$E$22:$E$37</definedName>
    <definedName name="__123Graph_F" localSheetId="0" hidden="1">[3]Input!$D$22:$D$37</definedName>
    <definedName name="__123Graph_F" hidden="1">[4]Input!$D$22:$D$37</definedName>
    <definedName name="__j1" localSheetId="0"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localSheetId="3"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3" hidden="1">#REF!</definedName>
    <definedName name="_xlnm._FilterDatabase" localSheetId="1" hidden="1">#REF!</definedName>
    <definedName name="_xlnm._FilterDatabase" localSheetId="2" hidden="1">#REF!</definedName>
    <definedName name="_xlnm._FilterDatabase" hidden="1">#REF!</definedName>
    <definedName name="_j1" localSheetId="0"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3" hidden="1">#REF!</definedName>
    <definedName name="_Key1" localSheetId="1" hidden="1">#REF!</definedName>
    <definedName name="_Key1" localSheetId="2" hidden="1">#REF!</definedName>
    <definedName name="_Key1" hidden="1">#REF!</definedName>
    <definedName name="_Key2" localSheetId="0" hidden="1">#REF!</definedName>
    <definedName name="_Key2" localSheetId="3" hidden="1">#REF!</definedName>
    <definedName name="_Key2" localSheetId="1" hidden="1">#REF!</definedName>
    <definedName name="_Key2" localSheetId="2" hidden="1">#REF!</definedName>
    <definedName name="_Key2" hidden="1">#REF!</definedName>
    <definedName name="_OM1" localSheetId="0"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localSheetId="0" hidden="1">0</definedName>
    <definedName name="_Order2" hidden="1">0</definedName>
    <definedName name="_Sort" localSheetId="0" hidden="1">#REF!</definedName>
    <definedName name="_Sort" localSheetId="3" hidden="1">#REF!</definedName>
    <definedName name="_Sort" localSheetId="1" hidden="1">#REF!</definedName>
    <definedName name="_Sort" localSheetId="2" hidden="1">#REF!</definedName>
    <definedName name="_Sort" hidden="1">#REF!</definedName>
    <definedName name="a" localSheetId="0" hidden="1">#REF!</definedName>
    <definedName name="Access_Button1" hidden="1">"Headcount_Workbook_Schedules_List"</definedName>
    <definedName name="AccessDatabase" hidden="1">"P:\HR\SharonPlummer\Headcount Workbook.mdb"</definedName>
    <definedName name="asa" localSheetId="0"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0"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DUDE" localSheetId="0" hidden="1">#REF!</definedName>
    <definedName name="DUDE" localSheetId="3" hidden="1">#REF!</definedName>
    <definedName name="DUDE" localSheetId="1" hidden="1">#REF!</definedName>
    <definedName name="DUDE" localSheetId="2" hidden="1">#REF!</definedName>
    <definedName name="DUDE" hidden="1">#REF!</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0"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0"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[5]Inputs!#REF!</definedName>
    <definedName name="PricingInfo" localSheetId="3" hidden="1">[1]Inputs!#REF!</definedName>
    <definedName name="PricingInfo" localSheetId="1" hidden="1">[1]Inputs!#REF!</definedName>
    <definedName name="PricingInfo" localSheetId="2" hidden="1">[1]Inputs!#REF!</definedName>
    <definedName name="PricingInfo" hidden="1">[1]Inputs!#REF!</definedName>
    <definedName name="_xlnm.Print_Area" localSheetId="3">'Page 2.1'!$A$1:$M$61</definedName>
    <definedName name="_xlnm.Print_Area" localSheetId="4">'Page 2.2'!$A$1:$L$43</definedName>
    <definedName name="_xlnm.Print_Area" localSheetId="1">'RMP_(THS-1)'!$A$1:$G$35</definedName>
    <definedName name="_xlnm.Print_Area" localSheetId="2">'RMP_(THS-2)'!$A$1:$P$77</definedName>
    <definedName name="retail" localSheetId="0"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localSheetId="3"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[6]Inputs!#REF!</definedName>
    <definedName name="w" localSheetId="3" hidden="1">[7]Inputs!#REF!</definedName>
    <definedName name="w" localSheetId="1" hidden="1">[7]Inputs!#REF!</definedName>
    <definedName name="w" localSheetId="2" hidden="1">[7]Inputs!#REF!</definedName>
    <definedName name="w" hidden="1">[7]Inputs!#REF!</definedName>
    <definedName name="wrn.1996._.Hydro._.5._.Year._.Forecast._.Budget." localSheetId="0"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localSheetId="3"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localSheetId="3"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0"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localSheetId="3" hidden="1">{#N/A,#N/A,TRUE,"Cover";#N/A,#N/A,TRUE,"Contents"}</definedName>
    <definedName name="wrn.Cover." hidden="1">{#N/A,#N/A,TRUE,"Cover";#N/A,#N/A,TRUE,"Contents"}</definedName>
    <definedName name="wrn.CoverContents." localSheetId="0" hidden="1">{#N/A,#N/A,FALSE,"Cover";#N/A,#N/A,FALSE,"Contents"}</definedName>
    <definedName name="wrn.CoverContents." localSheetId="3" hidden="1">{#N/A,#N/A,FALSE,"Cover";#N/A,#N/A,FALSE,"Contents"}</definedName>
    <definedName name="wrn.CoverContents." hidden="1">{#N/A,#N/A,FALSE,"Cover";#N/A,#N/A,FALSE,"Contents"}</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localSheetId="3"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0" hidden="1">{"Open issues Only",#N/A,FALSE,"TIMELINE"}</definedName>
    <definedName name="wrn.Open._.Issues._.Only." localSheetId="3"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3"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3" hidden="1">{#N/A,#N/A,FALSE,"PHI MTD";#N/A,#N/A,FALSE,"PHI YTD"}</definedName>
    <definedName name="wrn.PHI._.all._.other._.months." hidden="1">{#N/A,#N/A,FALSE,"PHI MTD";#N/A,#N/A,FALSE,"PHI YTD"}</definedName>
    <definedName name="wrn.PHI._.only." localSheetId="0" hidden="1">{#N/A,#N/A,FALSE,"PHI"}</definedName>
    <definedName name="wrn.PHI._.only." localSheetId="3" hidden="1">{#N/A,#N/A,FALSE,"PHI"}</definedName>
    <definedName name="wrn.PHI._.only." hidden="1">{#N/A,#N/A,FALSE,"PHI"}</definedName>
    <definedName name="wrn.PHI._.Sept._.Dec._.March." localSheetId="0" hidden="1">{#N/A,#N/A,FALSE,"PHI MTD";#N/A,#N/A,FALSE,"PHI QTD";#N/A,#N/A,FALSE,"PHI YTD"}</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3"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3" hidden="1">{"PPM Recon View",#N/A,FALSE,"Hyperion Proof"}</definedName>
    <definedName name="wrn.PPMreconview." hidden="1">{"PPM Recon View",#N/A,FALSE,"Hyperion Proof"}</definedName>
    <definedName name="wrn.PRINT._.SOURCE._.DATA." localSheetId="3" hidden="1">{"DATA_SET",#N/A,FALSE,"HOURLY SPREAD"}</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localSheetId="3"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3" hidden="1">{"Proof Total",#N/A,FALSE,"Hyperion Proof"}</definedName>
    <definedName name="wrn.ProofTotal." hidden="1">{"Proof Total",#N/A,FALSE,"Hyperion Proof"}</definedName>
    <definedName name="wrn.Reformat._.only." localSheetId="0" hidden="1">{#N/A,#N/A,FALSE,"Dec 1999 mapping"}</definedName>
    <definedName name="wrn.Reformat._.only." localSheetId="3"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0"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localSheetId="3"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3"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3" hidden="1">{"YTD-Utility",#N/A,FALSE,"Prov Utility"}</definedName>
    <definedName name="wrn.Standard._.Utility._.Only." hidden="1">{"YTD-Utility",#N/A,FALSE,"Prov Utility"}</definedName>
    <definedName name="wrn.Summary." localSheetId="0" hidden="1">{"Table A",#N/A,FALSE,"Summary";"Table D",#N/A,FALSE,"Summary";"Table E",#N/A,FALSE,"Summary"}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0" hidden="1">{#N/A,#N/A,FALSE,"Consltd-For contngcy"}</definedName>
    <definedName name="wrn.Summary._.View." localSheetId="3" hidden="1">{#N/A,#N/A,FALSE,"Consltd-For contngcy"}</definedName>
    <definedName name="wrn.Summary._.View." hidden="1">{#N/A,#N/A,FALSE,"Consltd-For contngcy"}</definedName>
    <definedName name="wrn.Total._.Summary." localSheetId="0" hidden="1">{"Total Summary",#N/A,FALSE,"Summary"}</definedName>
    <definedName name="wrn.Total._.Summary." localSheetId="3" hidden="1">{"Total Summary",#N/A,FALSE,"Summary"}</definedName>
    <definedName name="wrn.Total._.Summary." hidden="1">{"Total Summary",#N/A,FALSE,"Summary"}</definedName>
    <definedName name="wrn.UK._.Conversion._.Only." localSheetId="0" hidden="1">{#N/A,#N/A,FALSE,"Dec 1999 UK Continuing Ops"}</definedName>
    <definedName name="wrn.UK._.Conversion._.Only." localSheetId="3"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0" hidden="1">#REF!</definedName>
    <definedName name="y" hidden="1">'[2]DSM Output'!$B$21:$B$23</definedName>
    <definedName name="z" localSheetId="0" hidden="1">#REF!</definedName>
    <definedName name="z" hidden="1">'[2]DSM Output'!$G$21:$G$23</definedName>
    <definedName name="Z_01844156_6462_4A28_9785_1A86F4D0C834_.wvu.PrintTitles" localSheetId="0" hidden="1">#REF!</definedName>
    <definedName name="Z_01844156_6462_4A28_9785_1A86F4D0C834_.wvu.PrintTitles" localSheetId="3" hidden="1">#REF!</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5" l="1"/>
  <c r="F40" i="5"/>
  <c r="L38" i="5"/>
  <c r="L37" i="5"/>
  <c r="L36" i="5"/>
  <c r="L35" i="5"/>
  <c r="L34" i="5"/>
  <c r="L33" i="5"/>
  <c r="L32" i="5"/>
  <c r="L31" i="5"/>
  <c r="L30" i="5"/>
  <c r="L29" i="5"/>
  <c r="K40" i="5"/>
  <c r="I40" i="5"/>
  <c r="H40" i="5"/>
  <c r="G40" i="5"/>
  <c r="K21" i="5"/>
  <c r="G21" i="5"/>
  <c r="L20" i="5"/>
  <c r="L18" i="5"/>
  <c r="L16" i="5"/>
  <c r="L14" i="5"/>
  <c r="L12" i="5"/>
  <c r="L10" i="5"/>
  <c r="I21" i="5"/>
  <c r="H21" i="5"/>
  <c r="E21" i="5"/>
  <c r="A20" i="5"/>
  <c r="A2" i="5"/>
  <c r="A1" i="5"/>
  <c r="B104" i="4"/>
  <c r="B105" i="4" s="1"/>
  <c r="B106" i="4" s="1"/>
  <c r="B107" i="4" s="1"/>
  <c r="B108" i="4" s="1"/>
  <c r="B109" i="4" s="1"/>
  <c r="B110" i="4" s="1"/>
  <c r="B111" i="4" s="1"/>
  <c r="B112" i="4" s="1"/>
  <c r="B113" i="4" s="1"/>
  <c r="B114" i="4" s="1"/>
  <c r="B115" i="4" s="1"/>
  <c r="L42" i="4"/>
  <c r="K42" i="4"/>
  <c r="J42" i="4"/>
  <c r="I42" i="4"/>
  <c r="M41" i="4"/>
  <c r="A39" i="4"/>
  <c r="M37" i="4"/>
  <c r="M42" i="4" s="1"/>
  <c r="A25" i="4"/>
  <c r="E20" i="4"/>
  <c r="D14" i="4"/>
  <c r="E34" i="4"/>
  <c r="E27" i="4"/>
  <c r="A5" i="4"/>
  <c r="A48" i="4"/>
  <c r="E51" i="3"/>
  <c r="D51" i="3"/>
  <c r="F48" i="3"/>
  <c r="D32" i="3"/>
  <c r="O28" i="3"/>
  <c r="N28" i="3"/>
  <c r="M28" i="3"/>
  <c r="L28" i="3"/>
  <c r="K28" i="3"/>
  <c r="J28" i="3"/>
  <c r="I28" i="3"/>
  <c r="H28" i="3"/>
  <c r="G28" i="3"/>
  <c r="F28" i="3"/>
  <c r="E28" i="3"/>
  <c r="D28" i="3"/>
  <c r="P28" i="3" s="1"/>
  <c r="P22" i="3"/>
  <c r="A12" i="3"/>
  <c r="E9" i="3"/>
  <c r="F9" i="3" s="1"/>
  <c r="A7" i="3"/>
  <c r="A5" i="3"/>
  <c r="B109" i="2"/>
  <c r="B110" i="2" s="1"/>
  <c r="B111" i="2" s="1"/>
  <c r="B112" i="2" s="1"/>
  <c r="B113" i="2" s="1"/>
  <c r="B114" i="2" s="1"/>
  <c r="B115" i="2" s="1"/>
  <c r="B116" i="2" s="1"/>
  <c r="B117" i="2" s="1"/>
  <c r="B118" i="2" s="1"/>
  <c r="B119" i="2" s="1"/>
  <c r="B108" i="2"/>
  <c r="F16" i="2"/>
  <c r="F15" i="2"/>
  <c r="F11" i="2"/>
  <c r="A11" i="2"/>
  <c r="A12" i="2" s="1"/>
  <c r="A13" i="2" s="1"/>
  <c r="A14" i="2" s="1"/>
  <c r="A15" i="2" s="1"/>
  <c r="A16" i="2" s="1"/>
  <c r="A17" i="2" s="1"/>
  <c r="A18" i="2" s="1"/>
  <c r="A19" i="2" s="1"/>
  <c r="A20" i="2" s="1"/>
  <c r="A21" i="2" s="1"/>
  <c r="F10" i="2"/>
  <c r="A10" i="2"/>
  <c r="F32" i="3" l="1"/>
  <c r="G9" i="3"/>
  <c r="B19" i="2"/>
  <c r="B16" i="2"/>
  <c r="B20" i="2"/>
  <c r="B17" i="2"/>
  <c r="B8" i="2"/>
  <c r="B14" i="2"/>
  <c r="B12" i="2"/>
  <c r="B15" i="2"/>
  <c r="A14" i="3"/>
  <c r="A16" i="3"/>
  <c r="B21" i="2"/>
  <c r="F51" i="3"/>
  <c r="G48" i="3"/>
  <c r="B40" i="3"/>
  <c r="B37" i="3"/>
  <c r="B20" i="3"/>
  <c r="B22" i="3"/>
  <c r="A10" i="5"/>
  <c r="L13" i="5"/>
  <c r="A14" i="5"/>
  <c r="L17" i="5"/>
  <c r="A18" i="5"/>
  <c r="E40" i="5"/>
  <c r="L28" i="5"/>
  <c r="L39" i="5"/>
  <c r="F21" i="5"/>
  <c r="J21" i="5"/>
  <c r="L11" i="5"/>
  <c r="A12" i="5"/>
  <c r="L15" i="5"/>
  <c r="A16" i="5"/>
  <c r="L19" i="5"/>
  <c r="A38" i="5"/>
  <c r="A36" i="5"/>
  <c r="A34" i="5"/>
  <c r="A32" i="5"/>
  <c r="A30" i="5"/>
  <c r="A28" i="5"/>
  <c r="A19" i="5"/>
  <c r="A17" i="5"/>
  <c r="A15" i="5"/>
  <c r="A13" i="5"/>
  <c r="A11" i="5"/>
  <c r="A9" i="5"/>
  <c r="A39" i="5"/>
  <c r="A37" i="5"/>
  <c r="A35" i="5"/>
  <c r="A33" i="5"/>
  <c r="A31" i="5"/>
  <c r="A29" i="5"/>
  <c r="A5" i="5"/>
  <c r="A8" i="4"/>
  <c r="A12" i="4"/>
  <c r="A16" i="4"/>
  <c r="A27" i="4"/>
  <c r="A32" i="4"/>
  <c r="A44" i="4"/>
  <c r="A49" i="4"/>
  <c r="B18" i="4"/>
  <c r="A34" i="4"/>
  <c r="A41" i="4"/>
  <c r="L9" i="5"/>
  <c r="A10" i="4"/>
  <c r="A14" i="4"/>
  <c r="A20" i="4"/>
  <c r="L40" i="5" l="1"/>
  <c r="I42" i="5" s="1"/>
  <c r="H48" i="3"/>
  <c r="G51" i="3"/>
  <c r="E32" i="3"/>
  <c r="J42" i="5"/>
  <c r="L21" i="5"/>
  <c r="K42" i="5"/>
  <c r="A17" i="3"/>
  <c r="G32" i="3"/>
  <c r="H9" i="3"/>
  <c r="H42" i="5" l="1"/>
  <c r="H43" i="5" s="1"/>
  <c r="F42" i="5"/>
  <c r="E42" i="5"/>
  <c r="G42" i="5"/>
  <c r="L42" i="5" s="1"/>
  <c r="A18" i="3"/>
  <c r="K23" i="5"/>
  <c r="H23" i="5"/>
  <c r="G23" i="5"/>
  <c r="E23" i="5"/>
  <c r="E43" i="5" s="1"/>
  <c r="I23" i="5"/>
  <c r="F23" i="5"/>
  <c r="I48" i="3"/>
  <c r="H51" i="3"/>
  <c r="F43" i="5"/>
  <c r="H32" i="3"/>
  <c r="I9" i="3"/>
  <c r="K43" i="5"/>
  <c r="J23" i="5"/>
  <c r="J18" i="4" l="1"/>
  <c r="D54" i="4"/>
  <c r="E54" i="4" s="1"/>
  <c r="G43" i="5"/>
  <c r="G18" i="4"/>
  <c r="F18" i="4"/>
  <c r="L18" i="4"/>
  <c r="I51" i="3"/>
  <c r="J51" i="3" s="1"/>
  <c r="J48" i="3"/>
  <c r="F18" i="2" s="1"/>
  <c r="I43" i="5"/>
  <c r="A20" i="3"/>
  <c r="A22" i="3" s="1"/>
  <c r="J43" i="5"/>
  <c r="J9" i="3"/>
  <c r="I32" i="3"/>
  <c r="L23" i="5"/>
  <c r="L43" i="5" l="1"/>
  <c r="L27" i="4"/>
  <c r="L20" i="4"/>
  <c r="L34" i="4"/>
  <c r="J34" i="4"/>
  <c r="J20" i="4"/>
  <c r="J27" i="4"/>
  <c r="H18" i="4"/>
  <c r="K18" i="4"/>
  <c r="I18" i="4"/>
  <c r="J32" i="3"/>
  <c r="K9" i="3"/>
  <c r="A24" i="3"/>
  <c r="A28" i="3"/>
  <c r="E36" i="4"/>
  <c r="E22" i="4"/>
  <c r="F27" i="4"/>
  <c r="F20" i="4"/>
  <c r="F34" i="4"/>
  <c r="E29" i="4"/>
  <c r="G27" i="4"/>
  <c r="G34" i="4"/>
  <c r="G20" i="4"/>
  <c r="E18" i="4" l="1"/>
  <c r="E41" i="4"/>
  <c r="J29" i="4"/>
  <c r="F29" i="4"/>
  <c r="F30" i="4" s="1"/>
  <c r="F32" i="4" s="1"/>
  <c r="E30" i="4"/>
  <c r="E32" i="4" s="1"/>
  <c r="I29" i="4"/>
  <c r="L29" i="4"/>
  <c r="H29" i="4"/>
  <c r="K29" i="4"/>
  <c r="G29" i="4"/>
  <c r="L22" i="4"/>
  <c r="H22" i="4"/>
  <c r="K22" i="4"/>
  <c r="G22" i="4"/>
  <c r="G23" i="4" s="1"/>
  <c r="G25" i="4" s="1"/>
  <c r="J22" i="4"/>
  <c r="J25" i="4" s="1"/>
  <c r="F22" i="4"/>
  <c r="E23" i="4"/>
  <c r="E25" i="4" s="1"/>
  <c r="I22" i="4"/>
  <c r="A30" i="3"/>
  <c r="A32" i="3" s="1"/>
  <c r="A34" i="3" s="1"/>
  <c r="A37" i="3" s="1"/>
  <c r="A38" i="3" s="1"/>
  <c r="A39" i="3" s="1"/>
  <c r="A40" i="3" s="1"/>
  <c r="A48" i="3" s="1"/>
  <c r="A50" i="3" s="1"/>
  <c r="A51" i="3" s="1"/>
  <c r="A52" i="3" s="1"/>
  <c r="A53" i="3" s="1"/>
  <c r="A57" i="3" s="1"/>
  <c r="A58" i="3" s="1"/>
  <c r="A59" i="3" s="1"/>
  <c r="K27" i="4"/>
  <c r="K34" i="4"/>
  <c r="K20" i="4"/>
  <c r="J32" i="4"/>
  <c r="L25" i="4"/>
  <c r="L36" i="4"/>
  <c r="L39" i="4" s="1"/>
  <c r="H36" i="4"/>
  <c r="K36" i="4"/>
  <c r="G36" i="4"/>
  <c r="G39" i="4" s="1"/>
  <c r="J36" i="4"/>
  <c r="J39" i="4" s="1"/>
  <c r="F36" i="4"/>
  <c r="F37" i="4" s="1"/>
  <c r="E37" i="4"/>
  <c r="E39" i="4" s="1"/>
  <c r="I36" i="4"/>
  <c r="L9" i="3"/>
  <c r="H34" i="4"/>
  <c r="H39" i="4" s="1"/>
  <c r="H27" i="4"/>
  <c r="H32" i="4" s="1"/>
  <c r="H20" i="4"/>
  <c r="L32" i="4"/>
  <c r="I20" i="4"/>
  <c r="I27" i="4"/>
  <c r="I34" i="4"/>
  <c r="I39" i="4" s="1"/>
  <c r="I32" i="4" l="1"/>
  <c r="I44" i="4" s="1"/>
  <c r="I25" i="4"/>
  <c r="K32" i="4"/>
  <c r="F23" i="4"/>
  <c r="F25" i="4" s="1"/>
  <c r="K39" i="4"/>
  <c r="G41" i="4"/>
  <c r="I41" i="4"/>
  <c r="L44" i="4"/>
  <c r="H23" i="4"/>
  <c r="H42" i="4" s="1"/>
  <c r="K32" i="3"/>
  <c r="F39" i="4"/>
  <c r="K25" i="4"/>
  <c r="K44" i="4" s="1"/>
  <c r="M34" i="4"/>
  <c r="M39" i="4" s="1"/>
  <c r="M44" i="4" s="1"/>
  <c r="E44" i="4"/>
  <c r="L41" i="4"/>
  <c r="J41" i="4"/>
  <c r="G30" i="4"/>
  <c r="G42" i="4" s="1"/>
  <c r="K41" i="4"/>
  <c r="E42" i="4"/>
  <c r="M9" i="3"/>
  <c r="L32" i="3"/>
  <c r="J44" i="4"/>
  <c r="H41" i="4"/>
  <c r="F41" i="4"/>
  <c r="G32" i="4"/>
  <c r="G44" i="4" s="1"/>
  <c r="F42" i="4" l="1"/>
  <c r="F44" i="4"/>
  <c r="N9" i="3"/>
  <c r="M32" i="3"/>
  <c r="E48" i="4"/>
  <c r="H25" i="4"/>
  <c r="H44" i="4" s="1"/>
  <c r="N32" i="3" l="1"/>
  <c r="O9" i="3"/>
  <c r="E49" i="4"/>
  <c r="O14" i="3"/>
  <c r="K14" i="3"/>
  <c r="K16" i="3" s="1"/>
  <c r="G14" i="3"/>
  <c r="G16" i="3" s="1"/>
  <c r="N14" i="3"/>
  <c r="N16" i="3" s="1"/>
  <c r="J14" i="3"/>
  <c r="J16" i="3" s="1"/>
  <c r="H14" i="3"/>
  <c r="H16" i="3" s="1"/>
  <c r="M14" i="3"/>
  <c r="M16" i="3" s="1"/>
  <c r="F14" i="3"/>
  <c r="F16" i="3" s="1"/>
  <c r="E14" i="3"/>
  <c r="E16" i="3" s="1"/>
  <c r="D14" i="3"/>
  <c r="D16" i="3" s="1"/>
  <c r="I14" i="3"/>
  <c r="I16" i="3" s="1"/>
  <c r="L14" i="3"/>
  <c r="L16" i="3" s="1"/>
  <c r="M17" i="3" l="1"/>
  <c r="M18" i="3" s="1"/>
  <c r="M24" i="3" s="1"/>
  <c r="M34" i="3" s="1"/>
  <c r="M38" i="3" s="1"/>
  <c r="N17" i="3"/>
  <c r="N18" i="3" s="1"/>
  <c r="N24" i="3" s="1"/>
  <c r="N34" i="3" s="1"/>
  <c r="N38" i="3" s="1"/>
  <c r="D17" i="3"/>
  <c r="D18" i="3" s="1"/>
  <c r="H17" i="3"/>
  <c r="H18" i="3" s="1"/>
  <c r="H24" i="3" s="1"/>
  <c r="H34" i="3" s="1"/>
  <c r="H38" i="3" s="1"/>
  <c r="K17" i="3"/>
  <c r="K18" i="3" s="1"/>
  <c r="K24" i="3" s="1"/>
  <c r="K34" i="3" s="1"/>
  <c r="K38" i="3" s="1"/>
  <c r="P20" i="3"/>
  <c r="F14" i="2" s="1"/>
  <c r="D46" i="3"/>
  <c r="E46" i="3" s="1"/>
  <c r="F46" i="3" s="1"/>
  <c r="G46" i="3" s="1"/>
  <c r="H46" i="3" s="1"/>
  <c r="I46" i="3" s="1"/>
  <c r="I17" i="3"/>
  <c r="I18" i="3" s="1"/>
  <c r="I24" i="3" s="1"/>
  <c r="I34" i="3" s="1"/>
  <c r="I38" i="3" s="1"/>
  <c r="G17" i="3"/>
  <c r="G18" i="3" s="1"/>
  <c r="G24" i="3" s="1"/>
  <c r="G34" i="3" s="1"/>
  <c r="G38" i="3" s="1"/>
  <c r="E17" i="3"/>
  <c r="E18" i="3" s="1"/>
  <c r="E24" i="3" s="1"/>
  <c r="E34" i="3" s="1"/>
  <c r="E38" i="3" s="1"/>
  <c r="J17" i="3"/>
  <c r="J18" i="3" s="1"/>
  <c r="J24" i="3" s="1"/>
  <c r="J34" i="3" s="1"/>
  <c r="J38" i="3" s="1"/>
  <c r="L17" i="3"/>
  <c r="L18" i="3" s="1"/>
  <c r="L24" i="3" s="1"/>
  <c r="L34" i="3" s="1"/>
  <c r="L38" i="3" s="1"/>
  <c r="F17" i="3"/>
  <c r="F18" i="3" s="1"/>
  <c r="F24" i="3" s="1"/>
  <c r="F34" i="3" s="1"/>
  <c r="F38" i="3" s="1"/>
  <c r="D24" i="3" l="1"/>
  <c r="O16" i="3"/>
  <c r="P12" i="3"/>
  <c r="O32" i="3"/>
  <c r="P32" i="3" s="1"/>
  <c r="P30" i="3"/>
  <c r="F17" i="2" s="1"/>
  <c r="O17" i="3" l="1"/>
  <c r="P17" i="3" s="1"/>
  <c r="F13" i="2" s="1"/>
  <c r="O18" i="3"/>
  <c r="P16" i="3"/>
  <c r="F12" i="2" s="1"/>
  <c r="D34" i="3"/>
  <c r="O24" i="3" l="1"/>
  <c r="P18" i="3"/>
  <c r="D38" i="3"/>
  <c r="D39" i="3" l="1"/>
  <c r="D40" i="3" s="1"/>
  <c r="E37" i="3" s="1"/>
  <c r="O34" i="3"/>
  <c r="P24" i="3"/>
  <c r="O38" i="3" l="1"/>
  <c r="P38" i="3" s="1"/>
  <c r="P34" i="3"/>
  <c r="E39" i="3"/>
  <c r="E40" i="3" l="1"/>
  <c r="F37" i="3" s="1"/>
  <c r="F39" i="3" l="1"/>
  <c r="F40" i="3"/>
  <c r="G37" i="3" s="1"/>
  <c r="G39" i="3" l="1"/>
  <c r="G40" i="3" s="1"/>
  <c r="H37" i="3" s="1"/>
  <c r="H39" i="3" l="1"/>
  <c r="H40" i="3" s="1"/>
  <c r="I37" i="3" s="1"/>
  <c r="I39" i="3" l="1"/>
  <c r="I40" i="3" s="1"/>
  <c r="J37" i="3" s="1"/>
  <c r="J39" i="3" l="1"/>
  <c r="J40" i="3" s="1"/>
  <c r="K37" i="3" s="1"/>
  <c r="K39" i="3" l="1"/>
  <c r="K40" i="3" s="1"/>
  <c r="L37" i="3" s="1"/>
  <c r="L39" i="3" l="1"/>
  <c r="L40" i="3" s="1"/>
  <c r="M37" i="3" s="1"/>
  <c r="M39" i="3" l="1"/>
  <c r="M40" i="3" s="1"/>
  <c r="N37" i="3" s="1"/>
  <c r="N39" i="3" l="1"/>
  <c r="N40" i="3" s="1"/>
  <c r="O37" i="3" s="1"/>
  <c r="O39" i="3" l="1"/>
  <c r="P39" i="3" s="1"/>
  <c r="F19" i="2" s="1"/>
  <c r="O40" i="3" l="1"/>
  <c r="D50" i="3" s="1"/>
  <c r="D52" i="3" l="1"/>
  <c r="D53" i="3" l="1"/>
  <c r="E50" i="3" s="1"/>
  <c r="E52" i="3" l="1"/>
  <c r="E53" i="3" l="1"/>
  <c r="F50" i="3" s="1"/>
  <c r="F52" i="3" l="1"/>
  <c r="F53" i="3" l="1"/>
  <c r="G50" i="3" s="1"/>
  <c r="G52" i="3" l="1"/>
  <c r="G53" i="3" s="1"/>
  <c r="H50" i="3" s="1"/>
  <c r="H52" i="3" l="1"/>
  <c r="J52" i="3" s="1"/>
  <c r="F20" i="2" s="1"/>
  <c r="F21" i="2" s="1"/>
  <c r="H53" i="3" l="1"/>
  <c r="I50" i="3" s="1"/>
  <c r="I53" i="3" s="1"/>
</calcChain>
</file>

<file path=xl/sharedStrings.xml><?xml version="1.0" encoding="utf-8"?>
<sst xmlns="http://schemas.openxmlformats.org/spreadsheetml/2006/main" count="167" uniqueCount="118">
  <si>
    <t>Exhibit Index</t>
  </si>
  <si>
    <t>Description:</t>
  </si>
  <si>
    <t>Deferral Period:</t>
  </si>
  <si>
    <t>RMP__(THS-1)</t>
  </si>
  <si>
    <t>Summary of Utah REC Balancing Account</t>
  </si>
  <si>
    <t>RMP__(THS-2)</t>
  </si>
  <si>
    <t>Page 2.1</t>
  </si>
  <si>
    <t>Page 2.2</t>
  </si>
  <si>
    <t>Rocky Mountain Power</t>
  </si>
  <si>
    <t>Utah REC Balancing Account</t>
  </si>
  <si>
    <t>Summary of REC Balancing Account (Schedule 98)</t>
  </si>
  <si>
    <t>Line No.</t>
  </si>
  <si>
    <t>Reference</t>
  </si>
  <si>
    <t>2019 REC Revenue Deferred Balance @ December 31, 2018</t>
  </si>
  <si>
    <t>Docket No. 19-035-11, RMP_(THS-2), line 15</t>
  </si>
  <si>
    <t>True Up for using actual resource allocations for Nov.18 &amp; Dec.18</t>
  </si>
  <si>
    <t>THS-2, Footnote 3</t>
  </si>
  <si>
    <t>REC Revenue Deferred Balance @ December 31, 2018 in this RBA filing</t>
  </si>
  <si>
    <t>THS-2, Line 12</t>
  </si>
  <si>
    <t>THS-2, Line 3</t>
  </si>
  <si>
    <t xml:space="preserve">10% retention incentive on incremental REC sales </t>
  </si>
  <si>
    <t>THS-2, Line 4</t>
  </si>
  <si>
    <t>THS-2, Line 6</t>
  </si>
  <si>
    <t>THS-2, Line 7</t>
  </si>
  <si>
    <t>THS-2, Line 9</t>
  </si>
  <si>
    <t>THS-2, Line 10</t>
  </si>
  <si>
    <t>Estimated Schedule 98 Surcharge/(Surcredit) January 2020 to May 2020</t>
  </si>
  <si>
    <t>THS-2, Line 17</t>
  </si>
  <si>
    <t>THS-2, Line 15</t>
  </si>
  <si>
    <t>THS-2, Line 20</t>
  </si>
  <si>
    <t>Total</t>
  </si>
  <si>
    <t>Actual REC Revenue</t>
  </si>
  <si>
    <t>Total Company REC Revenue</t>
  </si>
  <si>
    <t>SAP Actuals</t>
  </si>
  <si>
    <t>Allocation Rate</t>
  </si>
  <si>
    <t>Utah Allocated</t>
  </si>
  <si>
    <t>Line 1 * Line 2</t>
  </si>
  <si>
    <t xml:space="preserve"> 10% incentive </t>
  </si>
  <si>
    <t>Line 3 * 10%, Footnote 1</t>
  </si>
  <si>
    <t>Net Utah Allocated REC Revenue</t>
  </si>
  <si>
    <t>Line 3 - Line 4</t>
  </si>
  <si>
    <t>Total Utah Allocated REC Revenue</t>
  </si>
  <si>
    <t>Line 5 + Line 6 + Line 7</t>
  </si>
  <si>
    <t>REC Revenue in Rates</t>
  </si>
  <si>
    <t>Docket No. 13-035-184 Projected UT Allocated</t>
  </si>
  <si>
    <t>Footnote 2</t>
  </si>
  <si>
    <t xml:space="preserve">Schedule 98 Surcredits/(Surcharges) </t>
  </si>
  <si>
    <t>Actual Surcredits/(Surcharges) Billed</t>
  </si>
  <si>
    <t>Total in Rates</t>
  </si>
  <si>
    <t>Line 9 + line 10</t>
  </si>
  <si>
    <t>Monthly Deferral Amount</t>
  </si>
  <si>
    <t>Line 8 - Line 11</t>
  </si>
  <si>
    <t>Footnote 3</t>
  </si>
  <si>
    <t>Monthly Deferral</t>
  </si>
  <si>
    <t>Line 12</t>
  </si>
  <si>
    <t>Carrying Charge</t>
  </si>
  <si>
    <t>Footnotes 4 and 5</t>
  </si>
  <si>
    <t>Line 13 + Line 14 + Line 15</t>
  </si>
  <si>
    <t>Interim Period - Jan - June 2020</t>
  </si>
  <si>
    <t>Beginning Deferral Balance</t>
  </si>
  <si>
    <t>Line 16</t>
  </si>
  <si>
    <t>Monthly Deferral Balance</t>
  </si>
  <si>
    <t>Line 17</t>
  </si>
  <si>
    <t>Footnote 5 &amp; 6</t>
  </si>
  <si>
    <t>Ending Deferral Balance -</t>
  </si>
  <si>
    <t>Line 18 + Line 19 + Line 20</t>
  </si>
  <si>
    <t>Carrying Charge Rates</t>
  </si>
  <si>
    <t>Carrying Charge Rate (Apr 2018- Mar 2019)</t>
  </si>
  <si>
    <t>Footnote 4</t>
  </si>
  <si>
    <t>Carrying Charge Rate (Apr 2019- Mar 2020)</t>
  </si>
  <si>
    <t>Footnote 5</t>
  </si>
  <si>
    <t>Carrying Charge Rate (Apr 2020- Jun 2020)</t>
  </si>
  <si>
    <t>Footnote 6</t>
  </si>
  <si>
    <t xml:space="preserve"> </t>
  </si>
  <si>
    <t>Factor</t>
  </si>
  <si>
    <t>California</t>
  </si>
  <si>
    <t>Oregon</t>
  </si>
  <si>
    <t>Washington</t>
  </si>
  <si>
    <t>Wyoming</t>
  </si>
  <si>
    <t>Utah</t>
  </si>
  <si>
    <t>Idaho</t>
  </si>
  <si>
    <t>FERC</t>
  </si>
  <si>
    <t>Other</t>
  </si>
  <si>
    <t>SG</t>
  </si>
  <si>
    <t>Adjustment for RPS/Commission Order</t>
  </si>
  <si>
    <t>Situs</t>
  </si>
  <si>
    <t>(A)</t>
  </si>
  <si>
    <t>(B)</t>
  </si>
  <si>
    <t>C = B / A</t>
  </si>
  <si>
    <t>D = C * A</t>
  </si>
  <si>
    <t>SG Factor</t>
  </si>
  <si>
    <t>Leaning Juniper Revenue - amounts booked in SAP</t>
  </si>
  <si>
    <t xml:space="preserve">Utah allocated Leaning Juniper Revenue </t>
  </si>
  <si>
    <t>Coincident Peaks:</t>
  </si>
  <si>
    <t>Year</t>
  </si>
  <si>
    <t>Month</t>
  </si>
  <si>
    <t>Day</t>
  </si>
  <si>
    <t>hour</t>
  </si>
  <si>
    <t>CA</t>
  </si>
  <si>
    <t>OR</t>
  </si>
  <si>
    <t>WA</t>
  </si>
  <si>
    <t>UT</t>
  </si>
  <si>
    <t>ID</t>
  </si>
  <si>
    <t>WY</t>
  </si>
  <si>
    <t>Total 12 CP</t>
  </si>
  <si>
    <t>System Capacity Factor</t>
  </si>
  <si>
    <t>Energy:</t>
  </si>
  <si>
    <t>Total Energy</t>
  </si>
  <si>
    <t>System Energy Factor</t>
  </si>
  <si>
    <t>System Generation Factor</t>
  </si>
  <si>
    <t>REC Balancing Account (Schedule 98) Filing March 13, 2020</t>
  </si>
  <si>
    <t>January 1, 2019 - December 31, 2019</t>
  </si>
  <si>
    <t>Calculation of REC Revenue Deferred Balance - Calendar Year 2019</t>
  </si>
  <si>
    <t>Calculation of Utah Allocated Actual REC Revenue for CY 2019</t>
  </si>
  <si>
    <t>Calculation of Utah CY 2019 Actual Allocation Factors</t>
  </si>
  <si>
    <t>March 13, 2020</t>
  </si>
  <si>
    <t>2020 RBA - Deferral Period</t>
  </si>
  <si>
    <t xml:space="preserve">FOOTNOTES:
1) The Stipulation in Docket No. 11-035-200, paragraph 39 permits the Company to retain 10% of Utah-allocated REC revenue received after May 31, 2013, incremental to certain contracts executed before July 1, 2012.  The excludable contracts listed in Exhibit B to the 2012 GRC stipulation terminated during 2012, so all REC revenue booked January 1,2019 through December 31, 2019 is eligible for the 10% incentive (except for the Kennecott Agreement REC revenue).    
2) The REC revenue in rates for January 1, 2019 through December 31, 2019 is consistent with the stipulation in Docket No. 13-035-184, page 9, paragraph 29 ($2 million Utah allocated per year).
3) The beginning balance shown for January 2019 represents the $(1,044,249) ending December 31, 2018 balance from Docket No. 19-035-11.
4) The carrying charge of 4.09 percent applied to April 2018 through March 2019 represents the carrying charge determined in Docket No. 18-035-T01 with an effective date April 1, 2018 through March 31, 2019.
5) The carrying charge of 4.37 percent applied to April 2019 through March 2020 represents the carrying charge determinded in Docket No. 19-035-T03 with an effective April 1, 2019 thorugh March 31, 2020. 
6) The carrying charge of 3.88 percent applied to April 2020 through June 2020 represents the carrying charge determinded in Docket No. 20-035-T01 with an effective April 1, 2020 thorugh March 31,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</si>
</sst>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0_);_(* \(#,##0.0000\);_(* &quot;-&quot;??_);_(@_)"/>
    <numFmt numFmtId="167" formatCode="[$-409]mmm\-yy;@"/>
    <numFmt numFmtId="168" formatCode="0.000%"/>
    <numFmt numFmtId="169" formatCode="[$-409]mmmm\ d\,\ yyyy;@"/>
    <numFmt numFmtId="170" formatCode="#,##0.0"/>
    <numFmt numFmtId="171" formatCode="_(* #,##0.0_);_(* \(#,##0.0\);_(* &quot;-&quot;??_);_(@_)"/>
    <numFmt numFmtId="172" formatCode="_(* #,##0.0_);_(* \(#,##0.0\);_(* &quot;-&quot;?_);_(@_)"/>
    <numFmt numFmtId="173" formatCode="0.0000%"/>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b/>
      <sz val="10"/>
      <name val="Arial Black"/>
      <family val="2"/>
    </font>
    <font>
      <b/>
      <sz val="10"/>
      <color theme="1"/>
      <name val="Arial"/>
      <family val="2"/>
    </font>
    <font>
      <sz val="10"/>
      <color theme="1"/>
      <name val="Arial"/>
      <family val="2"/>
    </font>
    <font>
      <i/>
      <sz val="10"/>
      <color theme="1"/>
      <name val="Arial"/>
      <family val="2"/>
    </font>
    <font>
      <sz val="10"/>
      <color rgb="FF0000FF"/>
      <name val="Arial"/>
      <family val="2"/>
    </font>
    <font>
      <sz val="10"/>
      <color rgb="FFFF0000"/>
      <name val="Arial"/>
      <family val="2"/>
    </font>
    <font>
      <i/>
      <sz val="10"/>
      <name val="Arial"/>
      <family val="2"/>
    </font>
    <font>
      <b/>
      <sz val="10"/>
      <color rgb="FFFF0000"/>
      <name val="Arial"/>
      <family val="2"/>
    </font>
    <font>
      <b/>
      <sz val="10"/>
      <color rgb="FF0000FF"/>
      <name val="Arial"/>
      <family val="2"/>
    </font>
    <font>
      <b/>
      <sz val="8"/>
      <name val="Arial"/>
      <family val="2"/>
    </font>
    <font>
      <sz val="8"/>
      <name val="Arial"/>
      <family val="2"/>
    </font>
    <font>
      <sz val="12"/>
      <color theme="1"/>
      <name val="Times New Roman"/>
      <family val="1"/>
    </font>
    <font>
      <u/>
      <sz val="10"/>
      <name val="Arial"/>
      <family val="2"/>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30">
    <xf numFmtId="0" fontId="0" fillId="0" borderId="0" xfId="0"/>
    <xf numFmtId="0" fontId="3" fillId="0" borderId="0" xfId="4" applyFont="1" applyAlignment="1">
      <alignment horizontal="centerContinuous"/>
    </xf>
    <xf numFmtId="0" fontId="2" fillId="0" borderId="0" xfId="4" applyFont="1" applyAlignment="1">
      <alignment horizontal="centerContinuous"/>
    </xf>
    <xf numFmtId="0" fontId="2" fillId="0" borderId="0" xfId="4" applyFont="1"/>
    <xf numFmtId="0" fontId="3" fillId="0" borderId="0" xfId="4" applyFont="1" applyAlignment="1">
      <alignment horizontal="left" wrapText="1"/>
    </xf>
    <xf numFmtId="0" fontId="3" fillId="0" borderId="0" xfId="4" applyFont="1"/>
    <xf numFmtId="0" fontId="2" fillId="0" borderId="0" xfId="4" applyFont="1" applyAlignment="1">
      <alignment horizontal="center" wrapText="1"/>
    </xf>
    <xf numFmtId="0" fontId="2" fillId="0" borderId="0" xfId="4" applyFont="1" applyAlignment="1">
      <alignment horizontal="left"/>
    </xf>
    <xf numFmtId="0" fontId="3" fillId="0" borderId="0" xfId="4" applyFont="1" applyAlignment="1">
      <alignment horizontal="center" wrapText="1"/>
    </xf>
    <xf numFmtId="0" fontId="3" fillId="0" borderId="0" xfId="4" applyFont="1" applyAlignment="1">
      <alignment horizontal="left"/>
    </xf>
    <xf numFmtId="0" fontId="2" fillId="0" borderId="0" xfId="4" applyFont="1" applyFill="1" applyAlignment="1">
      <alignment horizontal="center"/>
    </xf>
    <xf numFmtId="0" fontId="2" fillId="0" borderId="0" xfId="4" applyFont="1" applyFill="1" applyAlignment="1">
      <alignment horizontal="left"/>
    </xf>
    <xf numFmtId="0" fontId="4" fillId="0" borderId="0" xfId="4" applyFont="1" applyAlignment="1">
      <alignment horizontal="center" wrapText="1"/>
    </xf>
    <xf numFmtId="0" fontId="4" fillId="0" borderId="0" xfId="4" applyFont="1" applyFill="1" applyAlignment="1">
      <alignment horizontal="left"/>
    </xf>
    <xf numFmtId="0" fontId="2" fillId="0" borderId="0" xfId="4" applyFont="1" applyAlignment="1">
      <alignment horizontal="center"/>
    </xf>
    <xf numFmtId="0" fontId="4" fillId="0" borderId="0" xfId="4" applyFont="1" applyAlignment="1">
      <alignment horizontal="left"/>
    </xf>
    <xf numFmtId="0" fontId="5" fillId="0" borderId="0" xfId="0" applyFont="1" applyFill="1" applyBorder="1"/>
    <xf numFmtId="0" fontId="6" fillId="0" borderId="0" xfId="0" applyFont="1" applyFill="1" applyBorder="1"/>
    <xf numFmtId="0" fontId="6" fillId="0" borderId="0" xfId="0" applyFont="1" applyFill="1"/>
    <xf numFmtId="15" fontId="6" fillId="0" borderId="0" xfId="0" quotePrefix="1" applyNumberFormat="1" applyFont="1" applyFill="1" applyBorder="1"/>
    <xf numFmtId="0" fontId="7" fillId="0" borderId="0" xfId="0" applyFont="1" applyFill="1" applyBorder="1"/>
    <xf numFmtId="0" fontId="6" fillId="0" borderId="0" xfId="0" applyFont="1" applyFill="1" applyBorder="1" applyAlignment="1">
      <alignment horizontal="center"/>
    </xf>
    <xf numFmtId="0" fontId="5" fillId="0" borderId="0" xfId="0" applyFont="1" applyFill="1"/>
    <xf numFmtId="0" fontId="6" fillId="0" borderId="0" xfId="0" applyFont="1" applyFill="1" applyAlignment="1">
      <alignment horizontal="left" indent="1"/>
    </xf>
    <xf numFmtId="164" fontId="2" fillId="0" borderId="0" xfId="2" applyNumberFormat="1" applyFont="1" applyFill="1"/>
    <xf numFmtId="165" fontId="6" fillId="0" borderId="1" xfId="1" applyNumberFormat="1" applyFont="1" applyFill="1" applyBorder="1"/>
    <xf numFmtId="165" fontId="6" fillId="0" borderId="0" xfId="1" applyNumberFormat="1" applyFont="1" applyFill="1"/>
    <xf numFmtId="0" fontId="6" fillId="0" borderId="0" xfId="0" applyFont="1" applyFill="1" applyBorder="1" applyAlignment="1">
      <alignment horizontal="left" indent="1"/>
    </xf>
    <xf numFmtId="164" fontId="5" fillId="0" borderId="2" xfId="2" applyNumberFormat="1" applyFont="1" applyFill="1" applyBorder="1"/>
    <xf numFmtId="43" fontId="0" fillId="0" borderId="0" xfId="1" applyFont="1"/>
    <xf numFmtId="43" fontId="6" fillId="0" borderId="0" xfId="1" applyFont="1" applyFill="1" applyBorder="1"/>
    <xf numFmtId="0" fontId="5" fillId="0" borderId="0" xfId="0" applyFont="1" applyFill="1" applyBorder="1" applyAlignment="1">
      <alignment horizontal="center" wrapText="1"/>
    </xf>
    <xf numFmtId="0" fontId="5" fillId="0" borderId="0" xfId="0" applyFont="1" applyFill="1" applyBorder="1" applyAlignment="1">
      <alignment horizontal="center"/>
    </xf>
    <xf numFmtId="165" fontId="8" fillId="0" borderId="0" xfId="1" applyNumberFormat="1" applyFont="1" applyFill="1" applyBorder="1"/>
    <xf numFmtId="165" fontId="6" fillId="0" borderId="0" xfId="1" applyNumberFormat="1" applyFont="1" applyFill="1" applyBorder="1"/>
    <xf numFmtId="165" fontId="6" fillId="0" borderId="0" xfId="0" applyNumberFormat="1" applyFont="1" applyFill="1" applyBorder="1"/>
    <xf numFmtId="0" fontId="3" fillId="0" borderId="0" xfId="0" applyFont="1" applyFill="1"/>
    <xf numFmtId="0" fontId="2" fillId="0" borderId="0" xfId="0" applyFont="1" applyFill="1"/>
    <xf numFmtId="0" fontId="9" fillId="0" borderId="0" xfId="0" applyFont="1" applyFill="1"/>
    <xf numFmtId="15" fontId="2" fillId="0" borderId="0" xfId="0" quotePrefix="1" applyNumberFormat="1" applyFont="1" applyFill="1"/>
    <xf numFmtId="165" fontId="6" fillId="0" borderId="0" xfId="0" applyNumberFormat="1" applyFont="1" applyFill="1"/>
    <xf numFmtId="0" fontId="10" fillId="0" borderId="0" xfId="0" applyFont="1" applyFill="1"/>
    <xf numFmtId="165" fontId="6" fillId="0" borderId="6" xfId="1" applyNumberFormat="1" applyFont="1" applyFill="1" applyBorder="1"/>
    <xf numFmtId="0" fontId="6" fillId="0" borderId="7" xfId="0" applyFont="1" applyFill="1" applyBorder="1"/>
    <xf numFmtId="167" fontId="3" fillId="0" borderId="1" xfId="0" applyNumberFormat="1" applyFont="1" applyFill="1" applyBorder="1" applyAlignment="1">
      <alignment horizontal="center"/>
    </xf>
    <xf numFmtId="167" fontId="3" fillId="0" borderId="1" xfId="0" applyNumberFormat="1" applyFont="1" applyFill="1" applyBorder="1" applyAlignment="1">
      <alignment horizontal="left"/>
    </xf>
    <xf numFmtId="167" fontId="5" fillId="0" borderId="8" xfId="0" applyNumberFormat="1" applyFont="1" applyFill="1" applyBorder="1" applyAlignment="1">
      <alignment horizontal="center"/>
    </xf>
    <xf numFmtId="167" fontId="5" fillId="0" borderId="1" xfId="0" applyNumberFormat="1" applyFont="1" applyFill="1" applyBorder="1" applyAlignment="1">
      <alignment horizontal="center"/>
    </xf>
    <xf numFmtId="167" fontId="5" fillId="0" borderId="9" xfId="0" applyNumberFormat="1" applyFont="1" applyFill="1" applyBorder="1" applyAlignment="1">
      <alignment horizontal="center"/>
    </xf>
    <xf numFmtId="0" fontId="5" fillId="0" borderId="1" xfId="0" applyFont="1" applyFill="1" applyBorder="1" applyAlignment="1">
      <alignment horizontal="center"/>
    </xf>
    <xf numFmtId="0" fontId="6" fillId="0" borderId="6" xfId="0" applyFont="1" applyFill="1" applyBorder="1"/>
    <xf numFmtId="0" fontId="2" fillId="0" borderId="0" xfId="0" applyFont="1" applyFill="1" applyAlignment="1">
      <alignment horizontal="center"/>
    </xf>
    <xf numFmtId="165" fontId="6" fillId="0" borderId="7" xfId="1" applyNumberFormat="1" applyFont="1" applyFill="1" applyBorder="1"/>
    <xf numFmtId="43" fontId="2" fillId="0" borderId="0" xfId="1" applyFont="1" applyFill="1" applyAlignment="1"/>
    <xf numFmtId="0" fontId="2" fillId="0" borderId="0" xfId="0" applyFont="1" applyFill="1" applyAlignment="1">
      <alignment horizontal="left"/>
    </xf>
    <xf numFmtId="165" fontId="6" fillId="0" borderId="6" xfId="0" applyNumberFormat="1" applyFont="1" applyFill="1" applyBorder="1"/>
    <xf numFmtId="165" fontId="6" fillId="0" borderId="7" xfId="0" applyNumberFormat="1" applyFont="1" applyFill="1" applyBorder="1"/>
    <xf numFmtId="165" fontId="9" fillId="0" borderId="0" xfId="0" applyNumberFormat="1" applyFont="1" applyFill="1"/>
    <xf numFmtId="0" fontId="2" fillId="0" borderId="0" xfId="0" applyFont="1" applyFill="1" applyAlignment="1">
      <alignment horizontal="left" indent="1"/>
    </xf>
    <xf numFmtId="10" fontId="6" fillId="0" borderId="6" xfId="0" applyNumberFormat="1" applyFont="1" applyFill="1" applyBorder="1"/>
    <xf numFmtId="10" fontId="6" fillId="0" borderId="0" xfId="0" applyNumberFormat="1" applyFont="1" applyFill="1" applyBorder="1"/>
    <xf numFmtId="10" fontId="6" fillId="0" borderId="7" xfId="0" applyNumberFormat="1" applyFont="1" applyFill="1" applyBorder="1"/>
    <xf numFmtId="43" fontId="6" fillId="0" borderId="0" xfId="0" applyNumberFormat="1" applyFont="1" applyFill="1" applyBorder="1"/>
    <xf numFmtId="43" fontId="2" fillId="0" borderId="0" xfId="1" applyFont="1" applyFill="1" applyAlignment="1">
      <alignment horizontal="left"/>
    </xf>
    <xf numFmtId="165" fontId="2" fillId="0" borderId="6" xfId="1" applyNumberFormat="1" applyFont="1" applyFill="1" applyBorder="1"/>
    <xf numFmtId="165" fontId="2" fillId="0" borderId="0" xfId="1" applyNumberFormat="1" applyFont="1" applyFill="1" applyBorder="1"/>
    <xf numFmtId="165" fontId="2" fillId="0" borderId="7" xfId="1" applyNumberFormat="1" applyFont="1" applyFill="1" applyBorder="1"/>
    <xf numFmtId="43" fontId="2" fillId="0" borderId="0" xfId="1" applyNumberFormat="1" applyFont="1" applyFill="1" applyAlignment="1">
      <alignment horizontal="left"/>
    </xf>
    <xf numFmtId="165" fontId="2" fillId="0" borderId="6" xfId="0" applyNumberFormat="1" applyFont="1" applyFill="1" applyBorder="1"/>
    <xf numFmtId="43" fontId="3" fillId="0" borderId="0" xfId="1" applyFont="1" applyFill="1" applyAlignment="1"/>
    <xf numFmtId="165" fontId="6" fillId="0" borderId="8" xfId="0" applyNumberFormat="1" applyFont="1" applyFill="1" applyBorder="1"/>
    <xf numFmtId="165" fontId="6" fillId="0" borderId="1" xfId="0" applyNumberFormat="1" applyFont="1" applyFill="1" applyBorder="1"/>
    <xf numFmtId="165" fontId="6" fillId="0" borderId="9" xfId="0" applyNumberFormat="1" applyFont="1" applyFill="1" applyBorder="1"/>
    <xf numFmtId="0" fontId="9" fillId="0" borderId="0" xfId="0" applyFont="1" applyFill="1" applyAlignment="1">
      <alignment horizontal="right"/>
    </xf>
    <xf numFmtId="0" fontId="5" fillId="0" borderId="0" xfId="0" applyFont="1" applyFill="1" applyAlignment="1">
      <alignment horizontal="left"/>
    </xf>
    <xf numFmtId="166" fontId="5" fillId="0" borderId="0" xfId="1" applyNumberFormat="1" applyFont="1" applyFill="1" applyBorder="1" applyAlignment="1">
      <alignment horizontal="center"/>
    </xf>
    <xf numFmtId="166" fontId="5" fillId="0" borderId="0" xfId="1" applyNumberFormat="1" applyFont="1" applyFill="1" applyBorder="1" applyAlignment="1"/>
    <xf numFmtId="0" fontId="9" fillId="0" borderId="0" xfId="0" applyFont="1" applyFill="1" applyBorder="1"/>
    <xf numFmtId="165" fontId="2" fillId="0" borderId="0" xfId="0" applyNumberFormat="1" applyFont="1" applyFill="1" applyBorder="1"/>
    <xf numFmtId="0" fontId="3" fillId="0" borderId="0" xfId="0" applyFont="1" applyFill="1" applyAlignment="1">
      <alignment horizontal="left"/>
    </xf>
    <xf numFmtId="165" fontId="5" fillId="0" borderId="10" xfId="0" applyNumberFormat="1" applyFont="1" applyFill="1" applyBorder="1"/>
    <xf numFmtId="10" fontId="8" fillId="0" borderId="0" xfId="3" applyNumberFormat="1" applyFont="1" applyFill="1" applyBorder="1"/>
    <xf numFmtId="0" fontId="3" fillId="0" borderId="1" xfId="0" applyFont="1" applyFill="1" applyBorder="1" applyAlignment="1">
      <alignment horizontal="left"/>
    </xf>
    <xf numFmtId="0" fontId="2" fillId="0" borderId="1" xfId="0" applyFont="1" applyFill="1" applyBorder="1"/>
    <xf numFmtId="0" fontId="2" fillId="0" borderId="1" xfId="0" applyFont="1" applyFill="1" applyBorder="1" applyAlignment="1">
      <alignment horizontal="left"/>
    </xf>
    <xf numFmtId="0" fontId="11" fillId="0" borderId="0" xfId="0" applyFont="1" applyFill="1"/>
    <xf numFmtId="0" fontId="2" fillId="0" borderId="0" xfId="0" applyFont="1" applyFill="1" applyBorder="1" applyAlignment="1">
      <alignment horizontal="left"/>
    </xf>
    <xf numFmtId="10" fontId="2" fillId="0" borderId="0" xfId="3" applyNumberFormat="1" applyFont="1" applyFill="1"/>
    <xf numFmtId="0" fontId="2" fillId="0" borderId="0" xfId="0" applyFont="1" applyFill="1" applyBorder="1"/>
    <xf numFmtId="165" fontId="12" fillId="0" borderId="0" xfId="3" applyNumberFormat="1" applyFont="1" applyFill="1"/>
    <xf numFmtId="10" fontId="8" fillId="0" borderId="0" xfId="3" applyNumberFormat="1" applyFont="1" applyFill="1"/>
    <xf numFmtId="0" fontId="3" fillId="0" borderId="0" xfId="5" applyFont="1" applyFill="1"/>
    <xf numFmtId="0" fontId="2" fillId="0" borderId="0" xfId="6" applyFill="1"/>
    <xf numFmtId="0" fontId="2" fillId="0" borderId="0" xfId="7" quotePrefix="1" applyFont="1"/>
    <xf numFmtId="0" fontId="6" fillId="0" borderId="0" xfId="6" applyFont="1"/>
    <xf numFmtId="0" fontId="10" fillId="0" borderId="0" xfId="4" applyFont="1" applyFill="1" applyAlignment="1">
      <alignment horizontal="left"/>
    </xf>
    <xf numFmtId="0" fontId="9" fillId="0" borderId="0" xfId="6" applyFont="1" applyFill="1"/>
    <xf numFmtId="0" fontId="2" fillId="0" borderId="0" xfId="5" applyFont="1" applyFill="1"/>
    <xf numFmtId="0" fontId="9" fillId="0" borderId="0" xfId="5" applyFont="1" applyFill="1"/>
    <xf numFmtId="168" fontId="2" fillId="0" borderId="0" xfId="8" applyNumberFormat="1" applyFont="1" applyFill="1"/>
    <xf numFmtId="43" fontId="2" fillId="0" borderId="0" xfId="5" applyNumberFormat="1" applyFont="1" applyFill="1"/>
    <xf numFmtId="0" fontId="2" fillId="0" borderId="0" xfId="6" applyFont="1"/>
    <xf numFmtId="164" fontId="2" fillId="0" borderId="4" xfId="5" applyNumberFormat="1" applyFont="1" applyFill="1" applyBorder="1"/>
    <xf numFmtId="44" fontId="2" fillId="0" borderId="0" xfId="5" applyNumberFormat="1" applyFont="1" applyFill="1"/>
    <xf numFmtId="0" fontId="2" fillId="0" borderId="0" xfId="7" applyFont="1"/>
    <xf numFmtId="164" fontId="2" fillId="0" borderId="4" xfId="9" applyNumberFormat="1" applyFont="1" applyFill="1" applyBorder="1"/>
    <xf numFmtId="0" fontId="2" fillId="0" borderId="0" xfId="5" applyFont="1" applyFill="1" applyBorder="1"/>
    <xf numFmtId="165" fontId="2" fillId="0" borderId="0" xfId="10" applyNumberFormat="1" applyFont="1" applyFill="1" applyBorder="1"/>
    <xf numFmtId="0" fontId="13" fillId="0" borderId="0" xfId="5" applyFont="1" applyFill="1" applyBorder="1" applyAlignment="1">
      <alignment horizontal="left"/>
    </xf>
    <xf numFmtId="0" fontId="2" fillId="0" borderId="0" xfId="5" applyFont="1" applyFill="1" applyBorder="1" applyAlignment="1">
      <alignment horizontal="right"/>
    </xf>
    <xf numFmtId="165" fontId="2" fillId="0" borderId="0" xfId="10" applyNumberFormat="1" applyFont="1" applyFill="1"/>
    <xf numFmtId="4" fontId="2" fillId="0" borderId="0" xfId="6" applyNumberFormat="1" applyFill="1"/>
    <xf numFmtId="0" fontId="3" fillId="0" borderId="0" xfId="5" applyFont="1" applyFill="1" applyBorder="1"/>
    <xf numFmtId="164" fontId="3" fillId="0" borderId="0" xfId="9" applyNumberFormat="1" applyFont="1" applyFill="1" applyBorder="1"/>
    <xf numFmtId="0" fontId="2" fillId="0" borderId="0" xfId="6" applyFont="1" applyFill="1"/>
    <xf numFmtId="164" fontId="2" fillId="0" borderId="0" xfId="6" applyNumberFormat="1" applyFill="1"/>
    <xf numFmtId="164" fontId="3" fillId="0" borderId="4" xfId="6" applyNumberFormat="1" applyFont="1" applyFill="1" applyBorder="1"/>
    <xf numFmtId="0" fontId="13" fillId="0" borderId="0" xfId="6" applyFont="1" applyFill="1" applyBorder="1" applyAlignment="1">
      <alignment horizontal="center"/>
    </xf>
    <xf numFmtId="0" fontId="2" fillId="0" borderId="0" xfId="6" applyFont="1" applyFill="1" applyAlignment="1">
      <alignment horizontal="center"/>
    </xf>
    <xf numFmtId="0" fontId="3" fillId="0" borderId="1" xfId="5" applyNumberFormat="1" applyFont="1" applyFill="1" applyBorder="1" applyAlignment="1">
      <alignment horizontal="center"/>
    </xf>
    <xf numFmtId="165" fontId="3" fillId="0" borderId="1" xfId="11" applyNumberFormat="1" applyFont="1" applyFill="1" applyBorder="1"/>
    <xf numFmtId="0" fontId="2" fillId="0" borderId="0" xfId="7" applyFont="1" applyFill="1"/>
    <xf numFmtId="0" fontId="2" fillId="0" borderId="0" xfId="5" applyNumberFormat="1" applyFont="1" applyFill="1" applyBorder="1" applyAlignment="1">
      <alignment horizontal="center"/>
    </xf>
    <xf numFmtId="168" fontId="2" fillId="0" borderId="0" xfId="5" applyNumberFormat="1" applyFont="1" applyFill="1" applyBorder="1" applyAlignment="1">
      <alignment horizontal="center"/>
    </xf>
    <xf numFmtId="168" fontId="2" fillId="0" borderId="0" xfId="6" applyNumberFormat="1" applyFill="1"/>
    <xf numFmtId="0" fontId="2" fillId="0" borderId="0" xfId="5" applyFont="1" applyFill="1" applyAlignment="1">
      <alignment horizontal="center"/>
    </xf>
    <xf numFmtId="165" fontId="2" fillId="0" borderId="11" xfId="10" applyNumberFormat="1" applyFont="1" applyFill="1" applyBorder="1" applyAlignment="1">
      <alignment horizontal="center"/>
    </xf>
    <xf numFmtId="165" fontId="2" fillId="0" borderId="12" xfId="10" applyNumberFormat="1" applyFont="1" applyFill="1" applyBorder="1" applyAlignment="1">
      <alignment horizontal="center"/>
    </xf>
    <xf numFmtId="165" fontId="2" fillId="0" borderId="13" xfId="10" applyNumberFormat="1" applyFont="1" applyFill="1" applyBorder="1" applyAlignment="1">
      <alignment horizontal="center"/>
    </xf>
    <xf numFmtId="165" fontId="2" fillId="0" borderId="2" xfId="10" applyNumberFormat="1" applyFont="1" applyFill="1" applyBorder="1" applyAlignment="1">
      <alignment horizontal="center"/>
    </xf>
    <xf numFmtId="165" fontId="2" fillId="0" borderId="14" xfId="10" applyNumberFormat="1" applyFont="1" applyFill="1" applyBorder="1" applyAlignment="1">
      <alignment horizontal="center"/>
    </xf>
    <xf numFmtId="0" fontId="14" fillId="0" borderId="15" xfId="5" applyFont="1" applyFill="1" applyBorder="1" applyAlignment="1">
      <alignment horizontal="center"/>
    </xf>
    <xf numFmtId="165" fontId="2" fillId="0" borderId="0" xfId="10" applyNumberFormat="1" applyFont="1" applyFill="1" applyBorder="1" applyAlignment="1">
      <alignment horizontal="center"/>
    </xf>
    <xf numFmtId="165" fontId="2" fillId="0" borderId="16" xfId="10" applyNumberFormat="1" applyFont="1" applyFill="1" applyBorder="1" applyAlignment="1">
      <alignment horizontal="center"/>
    </xf>
    <xf numFmtId="165" fontId="2" fillId="0" borderId="7" xfId="10" applyNumberFormat="1" applyFont="1" applyFill="1" applyBorder="1" applyAlignment="1">
      <alignment horizontal="center"/>
    </xf>
    <xf numFmtId="0" fontId="2" fillId="0" borderId="0" xfId="5" applyNumberFormat="1" applyFont="1" applyFill="1" applyBorder="1"/>
    <xf numFmtId="0" fontId="2" fillId="0" borderId="0" xfId="5" applyFont="1" applyFill="1" applyBorder="1" applyAlignment="1">
      <alignment horizontal="center"/>
    </xf>
    <xf numFmtId="165" fontId="2" fillId="0" borderId="15" xfId="10" applyNumberFormat="1" applyFont="1" applyFill="1" applyBorder="1"/>
    <xf numFmtId="165" fontId="2" fillId="0" borderId="17" xfId="10" applyNumberFormat="1" applyFont="1" applyFill="1" applyBorder="1"/>
    <xf numFmtId="165" fontId="2" fillId="0" borderId="1" xfId="10" applyNumberFormat="1" applyFont="1" applyFill="1" applyBorder="1" applyAlignment="1">
      <alignment horizontal="center"/>
    </xf>
    <xf numFmtId="165" fontId="2" fillId="0" borderId="18" xfId="10" applyNumberFormat="1" applyFont="1" applyFill="1" applyBorder="1" applyAlignment="1">
      <alignment horizontal="center"/>
    </xf>
    <xf numFmtId="165" fontId="2" fillId="0" borderId="1" xfId="10" applyNumberFormat="1" applyFont="1" applyFill="1" applyBorder="1"/>
    <xf numFmtId="165" fontId="2" fillId="0" borderId="9" xfId="10" applyNumberFormat="1" applyFont="1" applyFill="1" applyBorder="1"/>
    <xf numFmtId="0" fontId="14" fillId="0" borderId="0" xfId="5" applyFont="1" applyFill="1" applyBorder="1" applyAlignment="1">
      <alignment horizontal="center"/>
    </xf>
    <xf numFmtId="0" fontId="14" fillId="0" borderId="16" xfId="5" applyFont="1" applyFill="1" applyBorder="1" applyAlignment="1">
      <alignment horizontal="center"/>
    </xf>
    <xf numFmtId="165" fontId="2" fillId="0" borderId="7" xfId="10" applyNumberFormat="1" applyFont="1" applyFill="1" applyBorder="1"/>
    <xf numFmtId="0" fontId="3" fillId="0" borderId="0" xfId="5" applyNumberFormat="1" applyFont="1" applyFill="1" applyBorder="1"/>
    <xf numFmtId="165" fontId="2" fillId="0" borderId="19" xfId="10" applyNumberFormat="1" applyFont="1" applyFill="1" applyBorder="1"/>
    <xf numFmtId="165" fontId="2" fillId="0" borderId="20" xfId="10" applyNumberFormat="1" applyFont="1" applyFill="1" applyBorder="1"/>
    <xf numFmtId="165" fontId="2" fillId="0" borderId="21" xfId="10" applyNumberFormat="1" applyFont="1" applyFill="1" applyBorder="1"/>
    <xf numFmtId="165" fontId="14" fillId="0" borderId="0" xfId="10" applyNumberFormat="1" applyFont="1" applyFill="1" applyBorder="1" applyAlignment="1">
      <alignment horizontal="center"/>
    </xf>
    <xf numFmtId="165" fontId="2" fillId="0" borderId="11" xfId="11" applyNumberFormat="1" applyFont="1" applyFill="1" applyBorder="1" applyAlignment="1">
      <alignment horizontal="center"/>
    </xf>
    <xf numFmtId="165" fontId="2" fillId="0" borderId="13" xfId="11" applyNumberFormat="1" applyFont="1" applyFill="1" applyBorder="1" applyAlignment="1">
      <alignment horizontal="center"/>
    </xf>
    <xf numFmtId="165" fontId="2" fillId="0" borderId="22" xfId="11" applyNumberFormat="1" applyFont="1" applyFill="1" applyBorder="1" applyAlignment="1">
      <alignment horizontal="center"/>
    </xf>
    <xf numFmtId="165" fontId="2" fillId="0" borderId="16" xfId="11" applyNumberFormat="1" applyFont="1" applyFill="1" applyBorder="1" applyAlignment="1">
      <alignment horizontal="center"/>
    </xf>
    <xf numFmtId="165" fontId="2" fillId="0" borderId="0" xfId="11" applyNumberFormat="1" applyFont="1" applyFill="1" applyBorder="1" applyAlignment="1">
      <alignment horizontal="center"/>
    </xf>
    <xf numFmtId="165" fontId="2" fillId="0" borderId="23" xfId="11" applyNumberFormat="1" applyFont="1" applyFill="1" applyBorder="1" applyAlignment="1">
      <alignment horizontal="center"/>
    </xf>
    <xf numFmtId="165" fontId="2" fillId="0" borderId="15" xfId="11" applyNumberFormat="1" applyFont="1" applyFill="1" applyBorder="1"/>
    <xf numFmtId="165" fontId="2" fillId="0" borderId="17" xfId="11" applyNumberFormat="1" applyFont="1" applyFill="1" applyBorder="1"/>
    <xf numFmtId="165" fontId="2" fillId="0" borderId="18" xfId="11" applyNumberFormat="1" applyFont="1" applyFill="1" applyBorder="1" applyAlignment="1">
      <alignment horizontal="center"/>
    </xf>
    <xf numFmtId="165" fontId="2" fillId="0" borderId="1" xfId="11" applyNumberFormat="1" applyFont="1" applyFill="1" applyBorder="1" applyAlignment="1">
      <alignment horizontal="center"/>
    </xf>
    <xf numFmtId="165" fontId="2" fillId="0" borderId="1" xfId="11" applyNumberFormat="1" applyFont="1" applyFill="1" applyBorder="1"/>
    <xf numFmtId="165" fontId="2" fillId="0" borderId="24" xfId="11" applyNumberFormat="1" applyFont="1" applyFill="1" applyBorder="1"/>
    <xf numFmtId="165" fontId="2" fillId="0" borderId="0" xfId="11" applyNumberFormat="1" applyFont="1" applyFill="1" applyBorder="1"/>
    <xf numFmtId="165" fontId="2" fillId="0" borderId="23" xfId="11" applyNumberFormat="1" applyFont="1" applyFill="1" applyBorder="1"/>
    <xf numFmtId="165" fontId="2" fillId="0" borderId="19" xfId="11" applyNumberFormat="1" applyFont="1" applyFill="1" applyBorder="1"/>
    <xf numFmtId="165" fontId="2" fillId="0" borderId="21" xfId="11" applyNumberFormat="1" applyFont="1" applyFill="1" applyBorder="1"/>
    <xf numFmtId="165" fontId="14" fillId="0" borderId="1" xfId="11" applyNumberFormat="1" applyFont="1" applyFill="1" applyBorder="1" applyAlignment="1">
      <alignment horizontal="center"/>
    </xf>
    <xf numFmtId="0" fontId="14" fillId="0" borderId="1" xfId="5" applyFont="1" applyFill="1" applyBorder="1" applyAlignment="1">
      <alignment horizontal="center"/>
    </xf>
    <xf numFmtId="165" fontId="2" fillId="0" borderId="25" xfId="6" applyNumberFormat="1" applyFont="1" applyFill="1" applyBorder="1"/>
    <xf numFmtId="165" fontId="2" fillId="0" borderId="2" xfId="6" applyNumberFormat="1" applyFont="1" applyFill="1" applyBorder="1"/>
    <xf numFmtId="165" fontId="2" fillId="0" borderId="14" xfId="6" applyNumberFormat="1" applyFont="1" applyFill="1" applyBorder="1"/>
    <xf numFmtId="165" fontId="2" fillId="0" borderId="6" xfId="6" applyNumberFormat="1" applyFont="1" applyFill="1" applyBorder="1"/>
    <xf numFmtId="165" fontId="2" fillId="0" borderId="0" xfId="6" applyNumberFormat="1" applyFont="1" applyFill="1" applyBorder="1"/>
    <xf numFmtId="165" fontId="2" fillId="0" borderId="7" xfId="6" applyNumberFormat="1" applyFont="1" applyFill="1" applyBorder="1"/>
    <xf numFmtId="0" fontId="2" fillId="0" borderId="6" xfId="6" applyFill="1" applyBorder="1"/>
    <xf numFmtId="0" fontId="2" fillId="0" borderId="0" xfId="6" applyFill="1" applyBorder="1"/>
    <xf numFmtId="0" fontId="2" fillId="0" borderId="7" xfId="6" applyFill="1" applyBorder="1"/>
    <xf numFmtId="0" fontId="3" fillId="0" borderId="4" xfId="5" applyNumberFormat="1" applyFont="1" applyFill="1" applyBorder="1"/>
    <xf numFmtId="0" fontId="2" fillId="0" borderId="4" xfId="6" applyFill="1" applyBorder="1"/>
    <xf numFmtId="165" fontId="3" fillId="0" borderId="3" xfId="6" applyNumberFormat="1" applyFont="1" applyFill="1" applyBorder="1"/>
    <xf numFmtId="165" fontId="2" fillId="0" borderId="4" xfId="6" applyNumberFormat="1" applyFill="1" applyBorder="1"/>
    <xf numFmtId="165" fontId="3" fillId="0" borderId="4" xfId="6" applyNumberFormat="1" applyFont="1" applyFill="1" applyBorder="1"/>
    <xf numFmtId="165" fontId="2" fillId="0" borderId="4" xfId="6" applyNumberFormat="1" applyFont="1" applyFill="1" applyBorder="1"/>
    <xf numFmtId="165" fontId="2" fillId="0" borderId="5" xfId="6" applyNumberFormat="1" applyFill="1" applyBorder="1"/>
    <xf numFmtId="165" fontId="3" fillId="0" borderId="0" xfId="4" applyNumberFormat="1" applyFont="1" applyBorder="1" applyAlignment="1">
      <alignment horizontal="right"/>
    </xf>
    <xf numFmtId="165" fontId="2" fillId="0" borderId="0" xfId="4" applyNumberFormat="1" applyBorder="1"/>
    <xf numFmtId="0" fontId="6" fillId="0" borderId="0" xfId="0" applyFont="1"/>
    <xf numFmtId="0" fontId="13" fillId="0" borderId="0" xfId="5" applyFont="1" applyFill="1" applyBorder="1" applyAlignment="1">
      <alignment horizontal="center"/>
    </xf>
    <xf numFmtId="0" fontId="9" fillId="0" borderId="0" xfId="6" applyFont="1" applyFill="1" applyAlignment="1">
      <alignment horizontal="right"/>
    </xf>
    <xf numFmtId="168" fontId="9" fillId="0" borderId="0" xfId="8" applyNumberFormat="1" applyFont="1" applyFill="1"/>
    <xf numFmtId="0" fontId="3" fillId="0" borderId="0" xfId="7" applyFont="1" applyFill="1" applyBorder="1" applyAlignment="1">
      <alignment horizontal="center"/>
    </xf>
    <xf numFmtId="165" fontId="3" fillId="0" borderId="1" xfId="4" applyNumberFormat="1" applyFont="1" applyBorder="1"/>
    <xf numFmtId="0" fontId="2" fillId="0" borderId="0" xfId="7" applyNumberFormat="1" applyFont="1" applyFill="1" applyBorder="1"/>
    <xf numFmtId="10" fontId="6" fillId="0" borderId="0" xfId="8" applyNumberFormat="1" applyFont="1"/>
    <xf numFmtId="165" fontId="2" fillId="0" borderId="0" xfId="4" quotePrefix="1" applyNumberFormat="1" applyBorder="1" applyAlignment="1">
      <alignment horizontal="left"/>
    </xf>
    <xf numFmtId="165" fontId="2" fillId="0" borderId="0" xfId="6" applyNumberFormat="1" applyFill="1"/>
    <xf numFmtId="165" fontId="6" fillId="0" borderId="0" xfId="1" applyNumberFormat="1" applyFont="1"/>
    <xf numFmtId="165" fontId="5" fillId="0" borderId="0" xfId="1" quotePrefix="1" applyNumberFormat="1" applyFont="1" applyBorder="1" applyAlignment="1">
      <alignment horizontal="center"/>
    </xf>
    <xf numFmtId="165" fontId="5" fillId="0" borderId="1" xfId="1" quotePrefix="1" applyNumberFormat="1" applyFont="1" applyBorder="1" applyAlignment="1">
      <alignment horizontal="center"/>
    </xf>
    <xf numFmtId="10" fontId="6" fillId="0" borderId="0" xfId="3" applyNumberFormat="1" applyFont="1" applyAlignment="1">
      <alignment horizontal="center"/>
    </xf>
    <xf numFmtId="165" fontId="3" fillId="0" borderId="0" xfId="6" applyNumberFormat="1" applyFont="1" applyFill="1"/>
    <xf numFmtId="0" fontId="3" fillId="0" borderId="0" xfId="0" applyFont="1"/>
    <xf numFmtId="0" fontId="2" fillId="0" borderId="0" xfId="0" applyFont="1"/>
    <xf numFmtId="4" fontId="15" fillId="0" borderId="0" xfId="0" applyNumberFormat="1" applyFont="1"/>
    <xf numFmtId="165" fontId="2" fillId="0" borderId="0" xfId="1" applyNumberFormat="1" applyFont="1"/>
    <xf numFmtId="169" fontId="2" fillId="0" borderId="0" xfId="0" applyNumberFormat="1" applyFont="1" applyAlignment="1">
      <alignment horizontal="left"/>
    </xf>
    <xf numFmtId="0" fontId="2" fillId="0" borderId="0" xfId="0" applyFont="1" applyBorder="1"/>
    <xf numFmtId="0" fontId="3" fillId="0" borderId="0" xfId="0" quotePrefix="1" applyFont="1" applyAlignment="1">
      <alignment horizontal="center"/>
    </xf>
    <xf numFmtId="0" fontId="2" fillId="0" borderId="0" xfId="0" applyFont="1" applyBorder="1" applyAlignment="1">
      <alignment horizontal="center"/>
    </xf>
    <xf numFmtId="0" fontId="16" fillId="0" borderId="0" xfId="0" applyFont="1" applyAlignment="1">
      <alignment horizontal="center"/>
    </xf>
    <xf numFmtId="170" fontId="2" fillId="0" borderId="0" xfId="0" applyNumberFormat="1" applyFont="1" applyBorder="1"/>
    <xf numFmtId="172" fontId="2" fillId="0" borderId="0" xfId="0" applyNumberFormat="1" applyFont="1" applyBorder="1"/>
    <xf numFmtId="43" fontId="2" fillId="0" borderId="0" xfId="0" applyNumberFormat="1" applyFont="1" applyBorder="1"/>
    <xf numFmtId="165" fontId="2" fillId="0" borderId="26" xfId="1" applyNumberFormat="1" applyFont="1" applyBorder="1"/>
    <xf numFmtId="171" fontId="2" fillId="0" borderId="0" xfId="0" applyNumberFormat="1" applyFont="1"/>
    <xf numFmtId="173" fontId="2" fillId="0" borderId="0" xfId="8" applyNumberFormat="1" applyFont="1"/>
    <xf numFmtId="172" fontId="2" fillId="0" borderId="0" xfId="0" applyNumberFormat="1" applyFont="1" applyFill="1" applyBorder="1"/>
    <xf numFmtId="43" fontId="2" fillId="0" borderId="0" xfId="0" applyNumberFormat="1" applyFont="1" applyFill="1" applyBorder="1"/>
    <xf numFmtId="43" fontId="2" fillId="0" borderId="0" xfId="1" applyFont="1"/>
    <xf numFmtId="165" fontId="2" fillId="0" borderId="0" xfId="10" applyNumberFormat="1" applyFont="1"/>
    <xf numFmtId="165" fontId="2" fillId="0" borderId="0" xfId="0" applyNumberFormat="1" applyFont="1"/>
    <xf numFmtId="165" fontId="2" fillId="0" borderId="26" xfId="0" applyNumberFormat="1" applyFont="1" applyBorder="1"/>
    <xf numFmtId="173" fontId="3" fillId="0" borderId="27" xfId="8" applyNumberFormat="1" applyFont="1" applyBorder="1"/>
    <xf numFmtId="168" fontId="2" fillId="0" borderId="0" xfId="8" applyNumberFormat="1" applyFont="1"/>
    <xf numFmtId="173" fontId="3" fillId="0" borderId="28" xfId="8" applyNumberFormat="1" applyFont="1" applyBorder="1"/>
    <xf numFmtId="166" fontId="5" fillId="0" borderId="3" xfId="1" applyNumberFormat="1" applyFont="1" applyFill="1" applyBorder="1" applyAlignment="1">
      <alignment horizontal="center"/>
    </xf>
    <xf numFmtId="166" fontId="5" fillId="0" borderId="4" xfId="1" applyNumberFormat="1" applyFont="1" applyFill="1" applyBorder="1" applyAlignment="1">
      <alignment horizontal="center"/>
    </xf>
    <xf numFmtId="166" fontId="5" fillId="0" borderId="5" xfId="1" applyNumberFormat="1" applyFont="1" applyFill="1" applyBorder="1" applyAlignment="1">
      <alignment horizontal="center"/>
    </xf>
    <xf numFmtId="0" fontId="2" fillId="0" borderId="0" xfId="0" applyFont="1" applyFill="1" applyAlignment="1">
      <alignment horizontal="left" wrapText="1" indent="2"/>
    </xf>
  </cellXfs>
  <cellStyles count="12">
    <cellStyle name="Comma" xfId="1" builtinId="3"/>
    <cellStyle name="Comma 10" xfId="10"/>
    <cellStyle name="Comma 2 2 2" xfId="11"/>
    <cellStyle name="Currency" xfId="2" builtinId="4"/>
    <cellStyle name="Currency 2 2 2" xfId="9"/>
    <cellStyle name="Normal" xfId="0" builtinId="0"/>
    <cellStyle name="Normal 11 2" xfId="4"/>
    <cellStyle name="Normal 19" xfId="6"/>
    <cellStyle name="Normal 2 2" xfId="5"/>
    <cellStyle name="Normal 2 2 2" xfId="7"/>
    <cellStyle name="Percent" xfId="3" builtinId="5"/>
    <cellStyle name="Percent 2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95250</xdr:rowOff>
    </xdr:from>
    <xdr:to>
      <xdr:col>13</xdr:col>
      <xdr:colOff>3176</xdr:colOff>
      <xdr:row>61</xdr:row>
      <xdr:rowOff>3175</xdr:rowOff>
    </xdr:to>
    <xdr:sp macro="" textlink="">
      <xdr:nvSpPr>
        <xdr:cNvPr id="2" name="TextBox 1"/>
        <xdr:cNvSpPr txBox="1"/>
      </xdr:nvSpPr>
      <xdr:spPr>
        <a:xfrm>
          <a:off x="0" y="9420225"/>
          <a:ext cx="13452476" cy="55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1) </a:t>
          </a:r>
          <a:r>
            <a:rPr lang="en-US" sz="1000" baseline="0">
              <a:solidFill>
                <a:schemeClr val="dk1"/>
              </a:solidFill>
              <a:latin typeface="Arial" pitchFamily="34" charset="0"/>
              <a:ea typeface="+mn-ea"/>
              <a:cs typeface="Arial" pitchFamily="34" charset="0"/>
            </a:rPr>
            <a:t>Exhibit RMP__(KB-1) provides the actual 2019 REC revenue by resource. </a:t>
          </a:r>
          <a:endParaRPr lang="en-US" sz="1000">
            <a:solidFill>
              <a:schemeClr val="dk1"/>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EGULATN\PA&amp;D\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Documents%20and%20Settings\p04092.000\Local%20Settings\Temporary%20Internet%20Files\OLK1AC\RECOV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zoomScaleNormal="100" workbookViewId="0">
      <selection activeCell="B30" sqref="B30"/>
    </sheetView>
  </sheetViews>
  <sheetFormatPr defaultColWidth="9.140625" defaultRowHeight="12.75" x14ac:dyDescent="0.2"/>
  <cols>
    <col min="1" max="1" width="18" style="3" customWidth="1"/>
    <col min="2" max="2" width="75" style="3" customWidth="1"/>
    <col min="3" max="3" width="8.140625" style="3" customWidth="1"/>
    <col min="4" max="16384" width="9.140625" style="3"/>
  </cols>
  <sheetData>
    <row r="2" spans="1:2" x14ac:dyDescent="0.2">
      <c r="A2" s="1" t="s">
        <v>0</v>
      </c>
      <c r="B2" s="2"/>
    </row>
    <row r="3" spans="1:2" x14ac:dyDescent="0.2">
      <c r="A3" s="4" t="s">
        <v>1</v>
      </c>
      <c r="B3" s="5" t="s">
        <v>110</v>
      </c>
    </row>
    <row r="4" spans="1:2" x14ac:dyDescent="0.2">
      <c r="A4" s="4" t="s">
        <v>2</v>
      </c>
      <c r="B4" s="5" t="s">
        <v>111</v>
      </c>
    </row>
    <row r="5" spans="1:2" x14ac:dyDescent="0.2">
      <c r="A5" s="6"/>
      <c r="B5" s="7"/>
    </row>
    <row r="6" spans="1:2" x14ac:dyDescent="0.2">
      <c r="A6" s="6"/>
      <c r="B6" s="7"/>
    </row>
    <row r="7" spans="1:2" x14ac:dyDescent="0.2">
      <c r="A7" s="8" t="s">
        <v>3</v>
      </c>
      <c r="B7" s="9" t="s">
        <v>4</v>
      </c>
    </row>
    <row r="8" spans="1:2" x14ac:dyDescent="0.2">
      <c r="A8" s="8" t="s">
        <v>5</v>
      </c>
      <c r="B8" s="9" t="s">
        <v>112</v>
      </c>
    </row>
    <row r="9" spans="1:2" x14ac:dyDescent="0.2">
      <c r="A9" s="10" t="s">
        <v>6</v>
      </c>
      <c r="B9" s="11" t="s">
        <v>113</v>
      </c>
    </row>
    <row r="10" spans="1:2" x14ac:dyDescent="0.2">
      <c r="A10" s="10" t="s">
        <v>7</v>
      </c>
      <c r="B10" s="11" t="s">
        <v>114</v>
      </c>
    </row>
    <row r="14" spans="1:2" ht="15" x14ac:dyDescent="0.3">
      <c r="A14" s="12"/>
      <c r="B14" s="13"/>
    </row>
    <row r="15" spans="1:2" x14ac:dyDescent="0.2">
      <c r="A15" s="14"/>
    </row>
    <row r="16" spans="1:2" x14ac:dyDescent="0.2">
      <c r="A16" s="14"/>
    </row>
    <row r="17" spans="1:2" x14ac:dyDescent="0.2">
      <c r="A17" s="14"/>
    </row>
    <row r="18" spans="1:2" x14ac:dyDescent="0.2">
      <c r="A18" s="14"/>
    </row>
    <row r="19" spans="1:2" x14ac:dyDescent="0.2">
      <c r="A19" s="14"/>
    </row>
    <row r="21" spans="1:2" ht="15" x14ac:dyDescent="0.3">
      <c r="A21" s="12"/>
      <c r="B21" s="15"/>
    </row>
    <row r="22" spans="1:2" x14ac:dyDescent="0.2">
      <c r="A22" s="14"/>
    </row>
    <row r="23" spans="1:2" x14ac:dyDescent="0.2">
      <c r="A23" s="14"/>
    </row>
    <row r="24" spans="1:2" x14ac:dyDescent="0.2">
      <c r="A24" s="14"/>
    </row>
    <row r="25" spans="1:2" x14ac:dyDescent="0.2">
      <c r="A25" s="14"/>
    </row>
    <row r="28" spans="1:2" ht="15" x14ac:dyDescent="0.3">
      <c r="A28" s="12"/>
      <c r="B28" s="15"/>
    </row>
    <row r="30" spans="1:2" x14ac:dyDescent="0.2">
      <c r="A30" s="14"/>
    </row>
  </sheetData>
  <pageMargins left="1" right="0.25" top="0.75" bottom="0.45" header="0.3" footer="0.1"/>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9"/>
  <sheetViews>
    <sheetView zoomScale="115" zoomScaleNormal="115" workbookViewId="0">
      <selection activeCell="B28" sqref="B28"/>
    </sheetView>
  </sheetViews>
  <sheetFormatPr defaultColWidth="9.140625" defaultRowHeight="12.75" x14ac:dyDescent="0.2"/>
  <cols>
    <col min="1" max="1" width="7.85546875" style="18" customWidth="1"/>
    <col min="2" max="4" width="9.140625" style="18"/>
    <col min="5" max="5" width="35.42578125" style="18" customWidth="1"/>
    <col min="6" max="6" width="17" style="18" bestFit="1" customWidth="1"/>
    <col min="7" max="7" width="46.140625" style="18" bestFit="1" customWidth="1"/>
    <col min="8" max="8" width="15.7109375" style="18" customWidth="1"/>
    <col min="9" max="9" width="8" style="18" customWidth="1"/>
    <col min="10" max="10" width="8.42578125" style="18" customWidth="1"/>
    <col min="11" max="16384" width="9.140625" style="18"/>
  </cols>
  <sheetData>
    <row r="1" spans="1:11" x14ac:dyDescent="0.2">
      <c r="A1" s="16" t="s">
        <v>8</v>
      </c>
      <c r="B1" s="17"/>
      <c r="C1" s="17"/>
      <c r="D1" s="17"/>
      <c r="E1" s="17"/>
      <c r="F1" s="17"/>
      <c r="G1" s="17"/>
      <c r="H1" s="17"/>
      <c r="I1" s="17"/>
      <c r="J1" s="17"/>
      <c r="K1" s="17"/>
    </row>
    <row r="2" spans="1:11" x14ac:dyDescent="0.2">
      <c r="A2" s="16" t="s">
        <v>9</v>
      </c>
      <c r="B2" s="17"/>
      <c r="C2" s="17"/>
      <c r="D2" s="17"/>
      <c r="E2" s="17"/>
      <c r="F2" s="17"/>
      <c r="G2" s="17"/>
      <c r="H2" s="17"/>
      <c r="I2" s="17"/>
      <c r="J2" s="17"/>
      <c r="K2" s="17"/>
    </row>
    <row r="3" spans="1:11" x14ac:dyDescent="0.2">
      <c r="A3" s="19" t="s">
        <v>115</v>
      </c>
      <c r="B3" s="17"/>
      <c r="C3" s="17"/>
      <c r="D3" s="17"/>
      <c r="E3" s="17"/>
      <c r="F3" s="17"/>
      <c r="G3" s="17"/>
      <c r="H3" s="17"/>
      <c r="I3" s="17"/>
      <c r="J3" s="17"/>
      <c r="K3" s="17"/>
    </row>
    <row r="4" spans="1:11" x14ac:dyDescent="0.2">
      <c r="A4" s="17"/>
      <c r="B4" s="17"/>
      <c r="C4" s="17"/>
      <c r="D4" s="17"/>
      <c r="E4" s="17"/>
      <c r="F4" s="17"/>
      <c r="G4" s="17"/>
      <c r="H4" s="17"/>
      <c r="I4" s="17"/>
      <c r="J4" s="17"/>
      <c r="K4" s="17"/>
    </row>
    <row r="5" spans="1:11" x14ac:dyDescent="0.2">
      <c r="A5" s="20" t="s">
        <v>10</v>
      </c>
      <c r="B5" s="17"/>
      <c r="C5" s="17"/>
      <c r="D5" s="17"/>
      <c r="E5" s="17"/>
      <c r="F5" s="17"/>
      <c r="G5" s="17"/>
      <c r="H5" s="17"/>
      <c r="I5" s="17"/>
      <c r="J5" s="17"/>
      <c r="K5" s="17"/>
    </row>
    <row r="6" spans="1:11" x14ac:dyDescent="0.2">
      <c r="A6" s="20"/>
      <c r="B6" s="17"/>
      <c r="C6" s="17"/>
      <c r="D6" s="17"/>
      <c r="E6" s="17"/>
      <c r="F6" s="17"/>
      <c r="G6" s="17"/>
      <c r="H6" s="17"/>
      <c r="I6" s="17"/>
      <c r="J6" s="17"/>
      <c r="K6" s="17"/>
    </row>
    <row r="7" spans="1:11" x14ac:dyDescent="0.2">
      <c r="A7" s="16" t="s">
        <v>11</v>
      </c>
      <c r="G7" s="16" t="s">
        <v>12</v>
      </c>
      <c r="H7" s="17"/>
      <c r="I7" s="17"/>
      <c r="J7" s="17"/>
      <c r="K7" s="17"/>
    </row>
    <row r="8" spans="1:11" x14ac:dyDescent="0.2">
      <c r="A8" s="21"/>
      <c r="B8" s="22" t="str">
        <f>YEAR(A3)&amp;" RBA Deferral Balance Calculation:"</f>
        <v>2020 RBA Deferral Balance Calculation:</v>
      </c>
      <c r="G8" s="17"/>
      <c r="H8" s="17"/>
      <c r="I8" s="17"/>
      <c r="J8" s="17"/>
      <c r="K8" s="17"/>
    </row>
    <row r="9" spans="1:11" x14ac:dyDescent="0.2">
      <c r="A9" s="21">
        <v>1</v>
      </c>
      <c r="B9" s="23" t="s">
        <v>13</v>
      </c>
      <c r="F9" s="24">
        <v>-1044248.7854507305</v>
      </c>
      <c r="G9" s="17" t="s">
        <v>14</v>
      </c>
      <c r="H9" s="17"/>
      <c r="I9" s="17"/>
      <c r="J9" s="17"/>
      <c r="K9" s="17"/>
    </row>
    <row r="10" spans="1:11" x14ac:dyDescent="0.2">
      <c r="A10" s="21">
        <f t="shared" ref="A10:A21" si="0">+A9+1</f>
        <v>2</v>
      </c>
      <c r="B10" s="23" t="s">
        <v>15</v>
      </c>
      <c r="F10" s="25">
        <f>F11-F9</f>
        <v>0</v>
      </c>
      <c r="G10" s="17" t="s">
        <v>16</v>
      </c>
      <c r="H10" s="17"/>
      <c r="I10" s="17"/>
      <c r="J10" s="17"/>
      <c r="K10" s="17"/>
    </row>
    <row r="11" spans="1:11" x14ac:dyDescent="0.2">
      <c r="A11" s="21">
        <f t="shared" si="0"/>
        <v>3</v>
      </c>
      <c r="B11" s="23" t="s">
        <v>17</v>
      </c>
      <c r="F11" s="26">
        <f>'RMP_(THS-2)'!D37</f>
        <v>-1044248.7854507305</v>
      </c>
      <c r="G11" s="17" t="s">
        <v>18</v>
      </c>
      <c r="H11" s="17"/>
      <c r="I11" s="17"/>
      <c r="J11" s="17"/>
      <c r="K11" s="17"/>
    </row>
    <row r="12" spans="1:11" x14ac:dyDescent="0.2">
      <c r="A12" s="21">
        <f t="shared" si="0"/>
        <v>4</v>
      </c>
      <c r="B12" s="23" t="str">
        <f>YEAR(A3)-1&amp;" Actual REC Revenue"</f>
        <v>2019 Actual REC Revenue</v>
      </c>
      <c r="F12" s="26">
        <f>'RMP_(THS-2)'!P16</f>
        <v>2904446.497177829</v>
      </c>
      <c r="G12" s="17" t="s">
        <v>19</v>
      </c>
      <c r="H12" s="17"/>
      <c r="I12" s="17"/>
      <c r="J12" s="17"/>
      <c r="K12" s="17"/>
    </row>
    <row r="13" spans="1:11" x14ac:dyDescent="0.2">
      <c r="A13" s="21">
        <f t="shared" si="0"/>
        <v>5</v>
      </c>
      <c r="B13" s="27" t="s">
        <v>20</v>
      </c>
      <c r="F13" s="26">
        <f>-'RMP_(THS-2)'!P17</f>
        <v>-290444.64971778286</v>
      </c>
      <c r="G13" s="17" t="s">
        <v>21</v>
      </c>
      <c r="H13" s="17"/>
      <c r="I13" s="17"/>
      <c r="J13" s="17"/>
      <c r="K13" s="17"/>
    </row>
    <row r="14" spans="1:11" x14ac:dyDescent="0.2">
      <c r="A14" s="21">
        <f t="shared" si="0"/>
        <v>6</v>
      </c>
      <c r="B14" s="27" t="str">
        <f>YEAR(A3)-1&amp;" Leaning Juniper Contract Revenue"</f>
        <v>2019 Leaning Juniper Contract Revenue</v>
      </c>
      <c r="F14" s="26">
        <f>'RMP_(THS-2)'!P20</f>
        <v>2907.2856931752985</v>
      </c>
      <c r="G14" s="17" t="s">
        <v>22</v>
      </c>
      <c r="H14" s="17"/>
      <c r="I14" s="17"/>
      <c r="J14" s="17"/>
      <c r="K14" s="17"/>
    </row>
    <row r="15" spans="1:11" x14ac:dyDescent="0.2">
      <c r="A15" s="21">
        <f t="shared" si="0"/>
        <v>7</v>
      </c>
      <c r="B15" s="27" t="str">
        <f>YEAR(A3)-1&amp;" Kennecott Contract Revenue"</f>
        <v>2019 Kennecott Contract Revenue</v>
      </c>
      <c r="F15" s="26">
        <f>'RMP_(THS-2)'!P22</f>
        <v>400000</v>
      </c>
      <c r="G15" s="17" t="s">
        <v>23</v>
      </c>
      <c r="H15" s="17"/>
      <c r="I15" s="17"/>
      <c r="J15" s="17"/>
      <c r="K15" s="17"/>
    </row>
    <row r="16" spans="1:11" x14ac:dyDescent="0.2">
      <c r="A16" s="21">
        <f>+A15+1</f>
        <v>8</v>
      </c>
      <c r="B16" s="27" t="str">
        <f>YEAR(A3)-1&amp;" REC Revenues in Base Rates"</f>
        <v>2019 REC Revenues in Base Rates</v>
      </c>
      <c r="F16" s="26">
        <f>-'RMP_(THS-2)'!P28</f>
        <v>-2000000.0000000002</v>
      </c>
      <c r="G16" s="17" t="s">
        <v>24</v>
      </c>
      <c r="H16" s="17"/>
      <c r="I16" s="17"/>
      <c r="J16" s="17"/>
      <c r="K16" s="17"/>
    </row>
    <row r="17" spans="1:11" x14ac:dyDescent="0.2">
      <c r="A17" s="21">
        <f>+A16+1</f>
        <v>9</v>
      </c>
      <c r="B17" s="27" t="str">
        <f>YEAR(A3)-1&amp;" Schedule 98 Surcharge/(Surcredit)"</f>
        <v>2019 Schedule 98 Surcharge/(Surcredit)</v>
      </c>
      <c r="F17" s="26">
        <f>-'RMP_(THS-2)'!P30</f>
        <v>717242.54</v>
      </c>
      <c r="G17" s="17" t="s">
        <v>25</v>
      </c>
      <c r="H17" s="17"/>
      <c r="I17" s="17"/>
      <c r="J17" s="17"/>
      <c r="K17" s="17"/>
    </row>
    <row r="18" spans="1:11" x14ac:dyDescent="0.2">
      <c r="A18" s="21">
        <f t="shared" si="0"/>
        <v>10</v>
      </c>
      <c r="B18" s="27" t="s">
        <v>26</v>
      </c>
      <c r="F18" s="26">
        <f>-'RMP_(THS-2)'!J48</f>
        <v>344491.75</v>
      </c>
      <c r="G18" s="17" t="s">
        <v>27</v>
      </c>
      <c r="H18" s="17"/>
      <c r="I18" s="17"/>
      <c r="J18" s="17"/>
      <c r="K18" s="17"/>
    </row>
    <row r="19" spans="1:11" x14ac:dyDescent="0.2">
      <c r="A19" s="21">
        <f t="shared" si="0"/>
        <v>11</v>
      </c>
      <c r="B19" s="27" t="str">
        <f>"Carrying Charges for Deferral Period (January - December "&amp;YEAR(A3)-1&amp;")"</f>
        <v>Carrying Charges for Deferral Period (January - December 2019)</v>
      </c>
      <c r="F19" s="26">
        <f>'RMP_(THS-2)'!P39</f>
        <v>-18917.12010039395</v>
      </c>
      <c r="G19" s="17" t="s">
        <v>28</v>
      </c>
      <c r="H19" s="17"/>
      <c r="I19" s="17"/>
      <c r="J19" s="17"/>
      <c r="K19" s="17"/>
    </row>
    <row r="20" spans="1:11" x14ac:dyDescent="0.2">
      <c r="A20" s="21">
        <f t="shared" si="0"/>
        <v>12</v>
      </c>
      <c r="B20" s="27" t="str">
        <f>"Carrying Charges for Interim Period (January "&amp;YEAR(A3)&amp;" - June "&amp;YEAR(A3)&amp;")"</f>
        <v>Carrying Charges for Interim Period (January 2020 - June 2020)</v>
      </c>
      <c r="F20" s="26">
        <f>'RMP_(THS-2)'!J52</f>
        <v>14480.078579783059</v>
      </c>
      <c r="G20" s="17" t="s">
        <v>29</v>
      </c>
      <c r="H20" s="17"/>
      <c r="I20" s="17"/>
      <c r="J20" s="17"/>
      <c r="K20" s="17"/>
    </row>
    <row r="21" spans="1:11" x14ac:dyDescent="0.2">
      <c r="A21" s="21">
        <f t="shared" si="0"/>
        <v>13</v>
      </c>
      <c r="B21" s="16" t="str">
        <f>"Total "&amp;YEAR(A3)&amp;" RBA Deferral Balance"</f>
        <v>Total 2020 RBA Deferral Balance</v>
      </c>
      <c r="F21" s="28">
        <f>SUM(F11:F20)</f>
        <v>1029957.5961818801</v>
      </c>
      <c r="G21" s="17"/>
      <c r="H21" s="17"/>
      <c r="I21" s="17"/>
      <c r="J21" s="17"/>
      <c r="K21" s="17"/>
    </row>
    <row r="22" spans="1:11" x14ac:dyDescent="0.2">
      <c r="A22" s="21"/>
      <c r="G22" s="17"/>
      <c r="H22" s="17"/>
      <c r="I22" s="17"/>
      <c r="J22" s="17"/>
      <c r="K22" s="17"/>
    </row>
    <row r="23" spans="1:11" customFormat="1" ht="15" x14ac:dyDescent="0.25"/>
    <row r="24" spans="1:11" customFormat="1" ht="15" x14ac:dyDescent="0.25"/>
    <row r="25" spans="1:11" customFormat="1" ht="15" x14ac:dyDescent="0.25"/>
    <row r="26" spans="1:11" customFormat="1" ht="15" x14ac:dyDescent="0.25">
      <c r="F26" s="29"/>
    </row>
    <row r="27" spans="1:11" customFormat="1" ht="15" x14ac:dyDescent="0.25">
      <c r="F27" s="29"/>
    </row>
    <row r="28" spans="1:11" customFormat="1" ht="15" x14ac:dyDescent="0.25">
      <c r="F28" s="29"/>
    </row>
    <row r="29" spans="1:11" customFormat="1" ht="15" x14ac:dyDescent="0.25">
      <c r="F29" s="29"/>
    </row>
    <row r="30" spans="1:11" customFormat="1" ht="15" x14ac:dyDescent="0.25">
      <c r="F30" s="29"/>
    </row>
    <row r="31" spans="1:11" customFormat="1" ht="15" x14ac:dyDescent="0.25">
      <c r="F31" s="29"/>
    </row>
    <row r="32" spans="1:11" customFormat="1" ht="15" x14ac:dyDescent="0.25">
      <c r="F32" s="29"/>
    </row>
    <row r="33" spans="1:11" customFormat="1" ht="13.5" customHeight="1" x14ac:dyDescent="0.25">
      <c r="F33" s="29"/>
    </row>
    <row r="34" spans="1:11" customFormat="1" ht="15" x14ac:dyDescent="0.25">
      <c r="F34" s="29"/>
    </row>
    <row r="35" spans="1:11" customFormat="1" ht="15" x14ac:dyDescent="0.25">
      <c r="F35" s="29"/>
    </row>
    <row r="36" spans="1:11" customFormat="1" ht="15" x14ac:dyDescent="0.25">
      <c r="F36" s="29"/>
    </row>
    <row r="37" spans="1:11" x14ac:dyDescent="0.2">
      <c r="A37" s="17"/>
      <c r="B37" s="17"/>
      <c r="C37" s="17"/>
      <c r="D37" s="17"/>
      <c r="E37" s="17"/>
      <c r="F37" s="30"/>
      <c r="G37" s="17"/>
      <c r="H37" s="17"/>
      <c r="I37" s="17"/>
      <c r="J37" s="17"/>
      <c r="K37" s="17"/>
    </row>
    <row r="38" spans="1:11" x14ac:dyDescent="0.2">
      <c r="A38" s="17"/>
      <c r="B38" s="17"/>
      <c r="C38" s="17"/>
      <c r="D38" s="17"/>
      <c r="E38" s="17"/>
      <c r="F38" s="30"/>
      <c r="G38" s="17"/>
      <c r="H38" s="17"/>
      <c r="I38" s="17"/>
      <c r="J38" s="17"/>
      <c r="K38" s="17"/>
    </row>
    <row r="39" spans="1:11" x14ac:dyDescent="0.2">
      <c r="A39" s="21"/>
      <c r="B39" s="17"/>
      <c r="C39" s="17"/>
      <c r="D39" s="17"/>
      <c r="E39" s="17"/>
      <c r="F39" s="30"/>
      <c r="G39" s="17"/>
      <c r="H39" s="17"/>
      <c r="I39" s="17"/>
      <c r="J39" s="17"/>
      <c r="K39" s="17"/>
    </row>
    <row r="40" spans="1:11" x14ac:dyDescent="0.2">
      <c r="A40" s="21"/>
      <c r="B40" s="17"/>
      <c r="C40" s="17"/>
      <c r="D40" s="17"/>
      <c r="E40" s="17"/>
      <c r="F40" s="17"/>
      <c r="G40" s="21"/>
      <c r="H40" s="17"/>
      <c r="I40" s="17"/>
      <c r="J40" s="17"/>
      <c r="K40" s="17"/>
    </row>
    <row r="41" spans="1:11" x14ac:dyDescent="0.2">
      <c r="A41" s="31"/>
      <c r="B41" s="16"/>
      <c r="C41" s="16"/>
      <c r="D41" s="16"/>
      <c r="E41" s="16"/>
      <c r="F41" s="32"/>
      <c r="G41" s="32"/>
      <c r="H41" s="17"/>
      <c r="I41" s="17"/>
      <c r="J41" s="17"/>
      <c r="K41" s="17"/>
    </row>
    <row r="42" spans="1:11" x14ac:dyDescent="0.2">
      <c r="A42" s="21"/>
      <c r="B42" s="17"/>
      <c r="C42" s="17"/>
      <c r="D42" s="17"/>
      <c r="E42" s="17"/>
      <c r="F42" s="33"/>
      <c r="G42" s="33"/>
      <c r="H42" s="16"/>
      <c r="I42" s="17"/>
      <c r="J42" s="17"/>
      <c r="K42" s="17"/>
    </row>
    <row r="43" spans="1:11" x14ac:dyDescent="0.2">
      <c r="A43" s="21"/>
      <c r="B43" s="17"/>
      <c r="C43" s="17"/>
      <c r="D43" s="17"/>
      <c r="E43" s="17"/>
      <c r="F43" s="33"/>
      <c r="G43" s="33"/>
      <c r="H43" s="17"/>
      <c r="I43" s="17"/>
      <c r="J43" s="17"/>
      <c r="K43" s="17"/>
    </row>
    <row r="44" spans="1:11" x14ac:dyDescent="0.2">
      <c r="A44" s="21"/>
      <c r="B44" s="17"/>
      <c r="C44" s="17"/>
      <c r="D44" s="17"/>
      <c r="E44" s="17"/>
      <c r="F44" s="34"/>
      <c r="G44" s="34"/>
      <c r="H44" s="17"/>
      <c r="I44" s="17"/>
      <c r="J44" s="17"/>
      <c r="K44" s="17"/>
    </row>
    <row r="45" spans="1:11" x14ac:dyDescent="0.2">
      <c r="A45" s="21"/>
      <c r="B45" s="17"/>
      <c r="C45" s="17"/>
      <c r="D45" s="17"/>
      <c r="E45" s="17"/>
      <c r="F45" s="17"/>
      <c r="G45" s="35"/>
      <c r="H45" s="17"/>
      <c r="I45" s="17"/>
      <c r="J45" s="17"/>
      <c r="K45" s="17"/>
    </row>
    <row r="46" spans="1:11" x14ac:dyDescent="0.2">
      <c r="A46" s="21"/>
      <c r="B46" s="17"/>
      <c r="C46" s="17"/>
      <c r="D46" s="17"/>
      <c r="E46" s="17"/>
      <c r="F46" s="17"/>
      <c r="G46" s="35"/>
      <c r="H46" s="17"/>
      <c r="I46" s="17"/>
      <c r="J46" s="17"/>
      <c r="K46" s="17"/>
    </row>
    <row r="47" spans="1:11" x14ac:dyDescent="0.2">
      <c r="A47" s="21"/>
      <c r="B47" s="17"/>
      <c r="C47" s="17"/>
      <c r="D47" s="17"/>
      <c r="E47" s="17"/>
      <c r="F47" s="17"/>
      <c r="G47" s="35"/>
      <c r="H47" s="17"/>
      <c r="I47" s="17"/>
      <c r="J47" s="17"/>
      <c r="K47" s="17"/>
    </row>
    <row r="48" spans="1:11" x14ac:dyDescent="0.2">
      <c r="A48" s="21"/>
      <c r="B48" s="17"/>
      <c r="C48" s="17"/>
      <c r="D48" s="17"/>
      <c r="E48" s="17"/>
      <c r="F48" s="17"/>
      <c r="G48" s="35"/>
      <c r="H48" s="17"/>
      <c r="I48" s="17"/>
      <c r="J48" s="17"/>
      <c r="K48" s="17"/>
    </row>
    <row r="49" spans="1:11" x14ac:dyDescent="0.2">
      <c r="A49" s="21"/>
      <c r="B49" s="17"/>
      <c r="C49" s="17"/>
      <c r="D49" s="17"/>
      <c r="E49" s="17"/>
      <c r="F49" s="35"/>
      <c r="G49" s="35"/>
      <c r="H49" s="17"/>
      <c r="I49" s="17"/>
      <c r="J49" s="17"/>
      <c r="K49" s="17"/>
    </row>
    <row r="50" spans="1:11" x14ac:dyDescent="0.2">
      <c r="A50" s="21"/>
      <c r="B50" s="17"/>
      <c r="C50" s="17"/>
      <c r="D50" s="17"/>
      <c r="E50" s="17"/>
      <c r="F50" s="35"/>
      <c r="G50" s="35"/>
      <c r="H50" s="17"/>
      <c r="I50" s="17"/>
      <c r="J50" s="17"/>
      <c r="K50" s="17"/>
    </row>
    <row r="51" spans="1:11" x14ac:dyDescent="0.2">
      <c r="A51" s="21"/>
      <c r="B51" s="17"/>
      <c r="C51" s="17"/>
      <c r="D51" s="17"/>
      <c r="E51" s="17"/>
      <c r="F51" s="35"/>
      <c r="G51" s="35"/>
      <c r="H51" s="17"/>
      <c r="I51" s="17"/>
      <c r="J51" s="17"/>
      <c r="K51" s="17"/>
    </row>
    <row r="52" spans="1:11" x14ac:dyDescent="0.2">
      <c r="A52" s="21"/>
      <c r="B52" s="17"/>
      <c r="C52" s="17"/>
      <c r="D52" s="17"/>
      <c r="E52" s="17"/>
      <c r="F52" s="35"/>
      <c r="G52" s="35"/>
      <c r="H52" s="17"/>
      <c r="I52" s="17"/>
      <c r="J52" s="17"/>
      <c r="K52" s="17"/>
    </row>
    <row r="53" spans="1:11" x14ac:dyDescent="0.2">
      <c r="A53" s="21"/>
      <c r="B53" s="17"/>
      <c r="C53" s="17"/>
      <c r="D53" s="17"/>
      <c r="E53" s="17"/>
      <c r="F53" s="35"/>
      <c r="G53" s="35"/>
      <c r="H53" s="17"/>
      <c r="I53" s="17"/>
      <c r="J53" s="17"/>
      <c r="K53" s="17"/>
    </row>
    <row r="54" spans="1:11" x14ac:dyDescent="0.2">
      <c r="A54" s="21"/>
      <c r="B54" s="17"/>
      <c r="C54" s="17"/>
      <c r="D54" s="17"/>
      <c r="E54" s="17"/>
      <c r="F54" s="35"/>
      <c r="G54" s="35"/>
      <c r="H54" s="17"/>
      <c r="I54" s="17"/>
      <c r="J54" s="17"/>
      <c r="K54" s="17"/>
    </row>
    <row r="55" spans="1:11" x14ac:dyDescent="0.2">
      <c r="A55" s="17"/>
      <c r="B55" s="17"/>
      <c r="C55" s="17"/>
      <c r="D55" s="17"/>
      <c r="E55" s="17"/>
      <c r="F55" s="35"/>
      <c r="G55" s="35"/>
      <c r="H55" s="35"/>
      <c r="I55" s="35"/>
      <c r="J55" s="17"/>
      <c r="K55" s="17"/>
    </row>
    <row r="56" spans="1:11" x14ac:dyDescent="0.2">
      <c r="A56" s="17"/>
      <c r="B56" s="17"/>
      <c r="C56" s="17"/>
      <c r="D56" s="17"/>
      <c r="E56" s="17"/>
      <c r="F56" s="17"/>
      <c r="G56" s="17"/>
      <c r="H56" s="17"/>
      <c r="I56" s="17"/>
      <c r="J56" s="17"/>
      <c r="K56" s="17"/>
    </row>
    <row r="57" spans="1:11" x14ac:dyDescent="0.2">
      <c r="A57" s="17"/>
      <c r="B57" s="17"/>
      <c r="C57" s="17"/>
      <c r="D57" s="17"/>
      <c r="E57" s="17"/>
      <c r="F57" s="17"/>
      <c r="G57" s="17"/>
      <c r="H57" s="17"/>
      <c r="I57" s="17"/>
      <c r="J57" s="17"/>
      <c r="K57" s="17"/>
    </row>
    <row r="58" spans="1:11" x14ac:dyDescent="0.2">
      <c r="H58" s="17"/>
      <c r="I58" s="17"/>
      <c r="J58" s="17"/>
      <c r="K58" s="17"/>
    </row>
    <row r="59" spans="1:11" x14ac:dyDescent="0.2">
      <c r="J59" s="17"/>
      <c r="K59" s="17"/>
    </row>
    <row r="108" spans="2:2" x14ac:dyDescent="0.2">
      <c r="B108" s="18">
        <f>EDATE(B105,1)</f>
        <v>31</v>
      </c>
    </row>
    <row r="109" spans="2:2" x14ac:dyDescent="0.2">
      <c r="B109" s="18">
        <f>EDATE(B108,1)</f>
        <v>59</v>
      </c>
    </row>
    <row r="110" spans="2:2" x14ac:dyDescent="0.2">
      <c r="B110" s="18">
        <f t="shared" ref="B110:B119" si="1">EDATE(B109,1)</f>
        <v>88</v>
      </c>
    </row>
    <row r="111" spans="2:2" x14ac:dyDescent="0.2">
      <c r="B111" s="18">
        <f t="shared" si="1"/>
        <v>119</v>
      </c>
    </row>
    <row r="112" spans="2:2" x14ac:dyDescent="0.2">
      <c r="B112" s="18">
        <f t="shared" si="1"/>
        <v>149</v>
      </c>
    </row>
    <row r="113" spans="2:2" x14ac:dyDescent="0.2">
      <c r="B113" s="18">
        <f t="shared" si="1"/>
        <v>180</v>
      </c>
    </row>
    <row r="114" spans="2:2" x14ac:dyDescent="0.2">
      <c r="B114" s="18">
        <f t="shared" si="1"/>
        <v>210</v>
      </c>
    </row>
    <row r="115" spans="2:2" x14ac:dyDescent="0.2">
      <c r="B115" s="18">
        <f t="shared" si="1"/>
        <v>241</v>
      </c>
    </row>
    <row r="116" spans="2:2" x14ac:dyDescent="0.2">
      <c r="B116" s="18">
        <f t="shared" si="1"/>
        <v>272</v>
      </c>
    </row>
    <row r="117" spans="2:2" x14ac:dyDescent="0.2">
      <c r="B117" s="18">
        <f t="shared" si="1"/>
        <v>302</v>
      </c>
    </row>
    <row r="118" spans="2:2" x14ac:dyDescent="0.2">
      <c r="B118" s="18">
        <f t="shared" si="1"/>
        <v>333</v>
      </c>
    </row>
    <row r="119" spans="2:2" x14ac:dyDescent="0.2">
      <c r="B119" s="18">
        <f t="shared" si="1"/>
        <v>363</v>
      </c>
    </row>
  </sheetData>
  <pageMargins left="0.7" right="0.7" top="0.75" bottom="0.75" header="0.3" footer="0.3"/>
  <pageSetup scale="91" orientation="landscape" r:id="rId1"/>
  <headerFooter>
    <oddFooter>&amp;C&amp;"Arial,Regular"&amp;10RMP__(THS-1)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77"/>
  <sheetViews>
    <sheetView tabSelected="1" topLeftCell="A16" zoomScaleNormal="100" workbookViewId="0">
      <selection activeCell="K52" sqref="K52"/>
    </sheetView>
  </sheetViews>
  <sheetFormatPr defaultColWidth="9.140625" defaultRowHeight="12.75" x14ac:dyDescent="0.2"/>
  <cols>
    <col min="1" max="1" width="9.140625" style="37"/>
    <col min="2" max="2" width="41" style="37" customWidth="1"/>
    <col min="3" max="3" width="32.28515625" style="37" customWidth="1"/>
    <col min="4" max="16" width="11.28515625" style="18" customWidth="1"/>
    <col min="17" max="17" width="12.42578125" style="38" bestFit="1" customWidth="1"/>
    <col min="18" max="18" width="14.28515625" style="18" bestFit="1" customWidth="1"/>
    <col min="19" max="16384" width="9.140625" style="18"/>
  </cols>
  <sheetData>
    <row r="1" spans="1:17" x14ac:dyDescent="0.2">
      <c r="A1" s="36" t="s">
        <v>8</v>
      </c>
    </row>
    <row r="2" spans="1:17" x14ac:dyDescent="0.2">
      <c r="A2" s="36" t="s">
        <v>9</v>
      </c>
    </row>
    <row r="3" spans="1:17" x14ac:dyDescent="0.2">
      <c r="A3" s="39" t="s">
        <v>115</v>
      </c>
    </row>
    <row r="4" spans="1:17" x14ac:dyDescent="0.2">
      <c r="D4" s="40"/>
    </row>
    <row r="5" spans="1:17" x14ac:dyDescent="0.2">
      <c r="A5" s="41" t="str">
        <f>"Calendar Year "&amp;YEAR(A3)-1</f>
        <v>Calendar Year 2019</v>
      </c>
    </row>
    <row r="6" spans="1:17" x14ac:dyDescent="0.2">
      <c r="D6" s="40"/>
      <c r="E6" s="40"/>
      <c r="F6" s="40"/>
      <c r="G6" s="40"/>
      <c r="H6" s="40"/>
      <c r="I6" s="40"/>
      <c r="J6" s="40"/>
      <c r="K6" s="40"/>
      <c r="L6" s="40"/>
    </row>
    <row r="7" spans="1:17" x14ac:dyDescent="0.2">
      <c r="A7" s="36" t="str">
        <f>YEAR(A3)&amp;" RBA (Deferral of CY "&amp;YEAR(A3)-1&amp;" REC Revenue)"</f>
        <v>2020 RBA (Deferral of CY 2019 REC Revenue)</v>
      </c>
      <c r="D7" s="226" t="s">
        <v>116</v>
      </c>
      <c r="E7" s="227"/>
      <c r="F7" s="227"/>
      <c r="G7" s="227"/>
      <c r="H7" s="227"/>
      <c r="I7" s="227"/>
      <c r="J7" s="227"/>
      <c r="K7" s="227"/>
      <c r="L7" s="227"/>
      <c r="M7" s="227"/>
      <c r="N7" s="227"/>
      <c r="O7" s="228"/>
    </row>
    <row r="8" spans="1:17" x14ac:dyDescent="0.2">
      <c r="B8" s="36"/>
      <c r="C8" s="36"/>
      <c r="D8" s="42"/>
      <c r="E8" s="34"/>
      <c r="F8" s="34"/>
      <c r="G8" s="34"/>
      <c r="H8" s="34"/>
      <c r="I8" s="34"/>
      <c r="J8" s="34"/>
      <c r="K8" s="34"/>
      <c r="L8" s="34"/>
      <c r="M8" s="17"/>
      <c r="N8" s="17"/>
      <c r="O8" s="43"/>
    </row>
    <row r="9" spans="1:17" x14ac:dyDescent="0.2">
      <c r="A9" s="44" t="s">
        <v>11</v>
      </c>
      <c r="B9" s="44"/>
      <c r="C9" s="45" t="s">
        <v>12</v>
      </c>
      <c r="D9" s="46">
        <v>43466</v>
      </c>
      <c r="E9" s="47">
        <f>EDATE(D9,1)</f>
        <v>43497</v>
      </c>
      <c r="F9" s="47">
        <f t="shared" ref="F9:O9" si="0">EDATE(E9,1)</f>
        <v>43525</v>
      </c>
      <c r="G9" s="47">
        <f t="shared" si="0"/>
        <v>43556</v>
      </c>
      <c r="H9" s="47">
        <f t="shared" si="0"/>
        <v>43586</v>
      </c>
      <c r="I9" s="47">
        <f t="shared" si="0"/>
        <v>43617</v>
      </c>
      <c r="J9" s="47">
        <f t="shared" si="0"/>
        <v>43647</v>
      </c>
      <c r="K9" s="47">
        <f t="shared" si="0"/>
        <v>43678</v>
      </c>
      <c r="L9" s="47">
        <f t="shared" si="0"/>
        <v>43709</v>
      </c>
      <c r="M9" s="47">
        <f t="shared" si="0"/>
        <v>43739</v>
      </c>
      <c r="N9" s="47">
        <f t="shared" si="0"/>
        <v>43770</v>
      </c>
      <c r="O9" s="48">
        <f t="shared" si="0"/>
        <v>43800</v>
      </c>
      <c r="P9" s="49" t="s">
        <v>30</v>
      </c>
    </row>
    <row r="10" spans="1:17" x14ac:dyDescent="0.2">
      <c r="D10" s="50"/>
      <c r="E10" s="17"/>
      <c r="F10" s="17"/>
      <c r="G10" s="17"/>
      <c r="H10" s="17"/>
      <c r="I10" s="17"/>
      <c r="J10" s="17"/>
      <c r="K10" s="17"/>
      <c r="L10" s="17"/>
      <c r="M10" s="17"/>
      <c r="N10" s="17"/>
      <c r="O10" s="43"/>
    </row>
    <row r="11" spans="1:17" x14ac:dyDescent="0.2">
      <c r="A11" s="51"/>
      <c r="B11" s="36" t="s">
        <v>31</v>
      </c>
      <c r="C11" s="36"/>
      <c r="D11" s="42"/>
      <c r="E11" s="34"/>
      <c r="F11" s="34"/>
      <c r="G11" s="34"/>
      <c r="H11" s="34"/>
      <c r="I11" s="34"/>
      <c r="J11" s="34"/>
      <c r="K11" s="34"/>
      <c r="L11" s="34"/>
      <c r="M11" s="34"/>
      <c r="N11" s="34"/>
      <c r="O11" s="52"/>
      <c r="P11" s="40"/>
    </row>
    <row r="12" spans="1:17" x14ac:dyDescent="0.2">
      <c r="A12" s="51">
        <f>MAX($A$10:A11)+1</f>
        <v>1</v>
      </c>
      <c r="B12" s="53" t="s">
        <v>32</v>
      </c>
      <c r="C12" s="54" t="s">
        <v>33</v>
      </c>
      <c r="D12" s="55">
        <v>159976.16</v>
      </c>
      <c r="E12" s="35">
        <v>919764.12</v>
      </c>
      <c r="F12" s="35">
        <v>437025.92999999993</v>
      </c>
      <c r="G12" s="35">
        <v>296419.25999999995</v>
      </c>
      <c r="H12" s="35">
        <v>211977.62</v>
      </c>
      <c r="I12" s="35">
        <v>272674.56000000006</v>
      </c>
      <c r="J12" s="35">
        <v>39.279999999969732</v>
      </c>
      <c r="K12" s="35">
        <v>6.5299999999988358</v>
      </c>
      <c r="L12" s="35">
        <v>353450.64</v>
      </c>
      <c r="M12" s="35">
        <v>664695.21</v>
      </c>
      <c r="N12" s="35">
        <v>796878.44000000006</v>
      </c>
      <c r="O12" s="56">
        <v>732788.95000000007</v>
      </c>
      <c r="P12" s="40">
        <f>SUM(D12:O12)</f>
        <v>4845696.6999999993</v>
      </c>
      <c r="Q12" s="57"/>
    </row>
    <row r="13" spans="1:17" ht="7.5" customHeight="1" x14ac:dyDescent="0.2">
      <c r="A13" s="51"/>
      <c r="B13" s="53"/>
      <c r="C13" s="58"/>
      <c r="D13" s="42"/>
      <c r="E13" s="34"/>
      <c r="F13" s="34"/>
      <c r="G13" s="34"/>
      <c r="H13" s="34"/>
      <c r="I13" s="34"/>
      <c r="J13" s="34"/>
      <c r="K13" s="34"/>
      <c r="L13" s="34"/>
      <c r="M13" s="34"/>
      <c r="N13" s="34"/>
      <c r="O13" s="52"/>
    </row>
    <row r="14" spans="1:17" x14ac:dyDescent="0.2">
      <c r="A14" s="51">
        <f>MAX($A$10:A13)+1</f>
        <v>2</v>
      </c>
      <c r="B14" s="53" t="s">
        <v>34</v>
      </c>
      <c r="C14" s="54" t="s">
        <v>6</v>
      </c>
      <c r="D14" s="59">
        <f>'Page 2.1'!$E$48</f>
        <v>0.59938677077701308</v>
      </c>
      <c r="E14" s="60">
        <f>'Page 2.1'!$E$48</f>
        <v>0.59938677077701308</v>
      </c>
      <c r="F14" s="60">
        <f>'Page 2.1'!$E$48</f>
        <v>0.59938677077701308</v>
      </c>
      <c r="G14" s="60">
        <f>'Page 2.1'!$E$48</f>
        <v>0.59938677077701308</v>
      </c>
      <c r="H14" s="60">
        <f>'Page 2.1'!$E$48</f>
        <v>0.59938677077701308</v>
      </c>
      <c r="I14" s="60">
        <f>'Page 2.1'!$E$48</f>
        <v>0.59938677077701308</v>
      </c>
      <c r="J14" s="60">
        <f>'Page 2.1'!$E$48</f>
        <v>0.59938677077701308</v>
      </c>
      <c r="K14" s="60">
        <f>'Page 2.1'!$E$48</f>
        <v>0.59938677077701308</v>
      </c>
      <c r="L14" s="60">
        <f>'Page 2.1'!$E$48</f>
        <v>0.59938677077701308</v>
      </c>
      <c r="M14" s="60">
        <f>'Page 2.1'!$E$48</f>
        <v>0.59938677077701308</v>
      </c>
      <c r="N14" s="60">
        <f>'Page 2.1'!$E$48</f>
        <v>0.59938677077701308</v>
      </c>
      <c r="O14" s="61">
        <f>'Page 2.1'!$E$48</f>
        <v>0.59938677077701308</v>
      </c>
    </row>
    <row r="15" spans="1:17" ht="7.5" customHeight="1" x14ac:dyDescent="0.2">
      <c r="A15" s="51"/>
      <c r="B15" s="53"/>
      <c r="C15" s="54"/>
      <c r="D15" s="50"/>
      <c r="E15" s="17"/>
      <c r="F15" s="17"/>
      <c r="G15" s="17"/>
      <c r="H15" s="17"/>
      <c r="I15" s="17"/>
      <c r="J15" s="17"/>
      <c r="K15" s="17"/>
      <c r="L15" s="17"/>
      <c r="M15" s="17"/>
      <c r="N15" s="17"/>
      <c r="O15" s="43"/>
    </row>
    <row r="16" spans="1:17" x14ac:dyDescent="0.2">
      <c r="A16" s="51">
        <f>MAX($A$10:A15)+1</f>
        <v>3</v>
      </c>
      <c r="B16" s="53" t="s">
        <v>35</v>
      </c>
      <c r="C16" s="54" t="s">
        <v>36</v>
      </c>
      <c r="D16" s="55">
        <f t="shared" ref="D16:O16" si="1">D12*D14</f>
        <v>95887.593943706772</v>
      </c>
      <c r="E16" s="35">
        <f t="shared" si="1"/>
        <v>551294.44576336117</v>
      </c>
      <c r="F16" s="35">
        <f t="shared" si="1"/>
        <v>261947.56092852092</v>
      </c>
      <c r="G16" s="35">
        <f t="shared" si="1"/>
        <v>177669.78304751182</v>
      </c>
      <c r="H16" s="35">
        <f t="shared" si="1"/>
        <v>127056.58112879678</v>
      </c>
      <c r="I16" s="35">
        <f t="shared" si="1"/>
        <v>163437.52399144293</v>
      </c>
      <c r="J16" s="35">
        <f t="shared" si="1"/>
        <v>23.543912356102933</v>
      </c>
      <c r="K16" s="35">
        <f t="shared" si="1"/>
        <v>3.9139956131731974</v>
      </c>
      <c r="L16" s="35">
        <f t="shared" si="1"/>
        <v>211853.63773866859</v>
      </c>
      <c r="M16" s="35">
        <f t="shared" si="1"/>
        <v>398409.51547284855</v>
      </c>
      <c r="N16" s="35">
        <f t="shared" si="1"/>
        <v>477638.39485342382</v>
      </c>
      <c r="O16" s="56">
        <f t="shared" si="1"/>
        <v>439224.00240157812</v>
      </c>
      <c r="P16" s="40">
        <f>SUM(D16:O16)</f>
        <v>2904446.497177829</v>
      </c>
      <c r="Q16" s="57"/>
    </row>
    <row r="17" spans="1:17" x14ac:dyDescent="0.2">
      <c r="A17" s="51">
        <f>MAX($A$10:A16)+1</f>
        <v>4</v>
      </c>
      <c r="B17" s="53" t="s">
        <v>37</v>
      </c>
      <c r="C17" s="54" t="s">
        <v>38</v>
      </c>
      <c r="D17" s="55">
        <f t="shared" ref="D17:O17" si="2">D16*0.1</f>
        <v>9588.7593943706779</v>
      </c>
      <c r="E17" s="35">
        <f t="shared" si="2"/>
        <v>55129.444576336122</v>
      </c>
      <c r="F17" s="35">
        <f t="shared" si="2"/>
        <v>26194.756092852094</v>
      </c>
      <c r="G17" s="35">
        <f t="shared" si="2"/>
        <v>17766.978304751185</v>
      </c>
      <c r="H17" s="35">
        <f t="shared" si="2"/>
        <v>12705.658112879679</v>
      </c>
      <c r="I17" s="35">
        <f t="shared" si="2"/>
        <v>16343.752399144294</v>
      </c>
      <c r="J17" s="35">
        <f t="shared" si="2"/>
        <v>2.3543912356102932</v>
      </c>
      <c r="K17" s="35">
        <f t="shared" si="2"/>
        <v>0.39139956131731979</v>
      </c>
      <c r="L17" s="35">
        <f t="shared" si="2"/>
        <v>21185.363773866862</v>
      </c>
      <c r="M17" s="35">
        <f t="shared" si="2"/>
        <v>39840.951547284858</v>
      </c>
      <c r="N17" s="35">
        <f t="shared" si="2"/>
        <v>47763.839485342382</v>
      </c>
      <c r="O17" s="56">
        <f t="shared" si="2"/>
        <v>43922.400240157818</v>
      </c>
      <c r="P17" s="40">
        <f>SUM(D17:O17)</f>
        <v>290444.64971778286</v>
      </c>
      <c r="Q17" s="57"/>
    </row>
    <row r="18" spans="1:17" x14ac:dyDescent="0.2">
      <c r="A18" s="51">
        <f>MAX($A$10:A17)+1</f>
        <v>5</v>
      </c>
      <c r="B18" s="53" t="s">
        <v>39</v>
      </c>
      <c r="C18" s="54" t="s">
        <v>40</v>
      </c>
      <c r="D18" s="55">
        <f t="shared" ref="D18:O18" si="3">D16-D17</f>
        <v>86298.834549336098</v>
      </c>
      <c r="E18" s="35">
        <f t="shared" si="3"/>
        <v>496165.00118702505</v>
      </c>
      <c r="F18" s="35">
        <f t="shared" si="3"/>
        <v>235752.80483566882</v>
      </c>
      <c r="G18" s="35">
        <f t="shared" si="3"/>
        <v>159902.80474276064</v>
      </c>
      <c r="H18" s="35">
        <f t="shared" si="3"/>
        <v>114350.9230159171</v>
      </c>
      <c r="I18" s="35">
        <f t="shared" si="3"/>
        <v>147093.77159229864</v>
      </c>
      <c r="J18" s="35">
        <f t="shared" si="3"/>
        <v>21.189521120492639</v>
      </c>
      <c r="K18" s="35">
        <f t="shared" si="3"/>
        <v>3.5225960518558779</v>
      </c>
      <c r="L18" s="35">
        <f t="shared" si="3"/>
        <v>190668.27396480175</v>
      </c>
      <c r="M18" s="35">
        <f t="shared" si="3"/>
        <v>358568.56392556371</v>
      </c>
      <c r="N18" s="35">
        <f t="shared" si="3"/>
        <v>429874.55536808143</v>
      </c>
      <c r="O18" s="56">
        <f t="shared" si="3"/>
        <v>395301.60216142028</v>
      </c>
      <c r="P18" s="40">
        <f>SUM(D18:O18)</f>
        <v>2614001.8474600464</v>
      </c>
      <c r="Q18" s="57"/>
    </row>
    <row r="19" spans="1:17" x14ac:dyDescent="0.2">
      <c r="A19" s="51"/>
      <c r="B19" s="53"/>
      <c r="C19" s="54"/>
      <c r="D19" s="55"/>
      <c r="E19" s="35"/>
      <c r="F19" s="35"/>
      <c r="G19" s="35"/>
      <c r="H19" s="35"/>
      <c r="I19" s="35"/>
      <c r="J19" s="35"/>
      <c r="K19" s="35"/>
      <c r="L19" s="35"/>
      <c r="M19" s="35"/>
      <c r="N19" s="35"/>
      <c r="O19" s="56"/>
      <c r="P19" s="40"/>
      <c r="Q19" s="57"/>
    </row>
    <row r="20" spans="1:17" x14ac:dyDescent="0.2">
      <c r="A20" s="51">
        <f>MAX($A$10:A19)+1</f>
        <v>6</v>
      </c>
      <c r="B20" s="53" t="str">
        <f>"Leaning Juniper Revenue CY "&amp;YEAR(A3)-1</f>
        <v>Leaning Juniper Revenue CY 2019</v>
      </c>
      <c r="C20" s="54" t="s">
        <v>6</v>
      </c>
      <c r="D20" s="55">
        <v>75.703435136068649</v>
      </c>
      <c r="E20" s="35">
        <v>66.759826094161113</v>
      </c>
      <c r="F20" s="35">
        <v>76.2466572596053</v>
      </c>
      <c r="G20" s="35">
        <v>383.68865029641222</v>
      </c>
      <c r="H20" s="35">
        <v>214.99862494183262</v>
      </c>
      <c r="I20" s="35">
        <v>177.67274638938176</v>
      </c>
      <c r="J20" s="35">
        <v>345.61964387896325</v>
      </c>
      <c r="K20" s="35">
        <v>368.72179434873027</v>
      </c>
      <c r="L20" s="35">
        <v>373.09364599895326</v>
      </c>
      <c r="M20" s="35">
        <v>343.33811096010925</v>
      </c>
      <c r="N20" s="35">
        <v>299.42838027039414</v>
      </c>
      <c r="O20" s="56">
        <v>182.01417760068674</v>
      </c>
      <c r="P20" s="40">
        <f>SUM(D20:O20)</f>
        <v>2907.2856931752985</v>
      </c>
      <c r="Q20" s="57"/>
    </row>
    <row r="21" spans="1:17" x14ac:dyDescent="0.2">
      <c r="A21" s="51"/>
      <c r="B21" s="53"/>
      <c r="C21" s="54"/>
      <c r="D21" s="55"/>
      <c r="E21" s="35"/>
      <c r="F21" s="35"/>
      <c r="G21" s="35"/>
      <c r="H21" s="35"/>
      <c r="I21" s="35"/>
      <c r="J21" s="35"/>
      <c r="K21" s="35"/>
      <c r="L21" s="35"/>
      <c r="M21" s="35"/>
      <c r="N21" s="35"/>
      <c r="O21" s="56"/>
      <c r="P21" s="40"/>
      <c r="Q21" s="57"/>
    </row>
    <row r="22" spans="1:17" x14ac:dyDescent="0.2">
      <c r="A22" s="51">
        <f>MAX($A$10:A21)+1</f>
        <v>7</v>
      </c>
      <c r="B22" s="53" t="str">
        <f>"Kennecott Revenue CY "&amp;YEAR(A3)-1</f>
        <v>Kennecott Revenue CY 2019</v>
      </c>
      <c r="C22" s="54" t="s">
        <v>33</v>
      </c>
      <c r="D22" s="55"/>
      <c r="E22" s="35"/>
      <c r="F22" s="35"/>
      <c r="G22" s="35"/>
      <c r="H22" s="35">
        <v>50000</v>
      </c>
      <c r="I22" s="35">
        <v>50000</v>
      </c>
      <c r="J22" s="35">
        <v>50000</v>
      </c>
      <c r="K22" s="35">
        <v>50000</v>
      </c>
      <c r="L22" s="35">
        <v>50000</v>
      </c>
      <c r="M22" s="35">
        <v>50000</v>
      </c>
      <c r="N22" s="35">
        <v>50000</v>
      </c>
      <c r="O22" s="56">
        <v>50000</v>
      </c>
      <c r="P22" s="40">
        <f>SUM(D22:O22)</f>
        <v>400000</v>
      </c>
      <c r="Q22" s="57"/>
    </row>
    <row r="23" spans="1:17" x14ac:dyDescent="0.2">
      <c r="A23" s="51"/>
      <c r="B23" s="53"/>
      <c r="C23" s="54"/>
      <c r="D23" s="55"/>
      <c r="E23" s="35"/>
      <c r="F23" s="35"/>
      <c r="G23" s="35"/>
      <c r="H23" s="35"/>
      <c r="I23" s="35"/>
      <c r="J23" s="35"/>
      <c r="K23" s="35"/>
      <c r="L23" s="35"/>
      <c r="M23" s="35"/>
      <c r="N23" s="35"/>
      <c r="O23" s="56"/>
      <c r="P23" s="40"/>
      <c r="Q23" s="57"/>
    </row>
    <row r="24" spans="1:17" x14ac:dyDescent="0.2">
      <c r="A24" s="51">
        <f>MAX($A$10:A23)+1</f>
        <v>8</v>
      </c>
      <c r="B24" s="53" t="s">
        <v>41</v>
      </c>
      <c r="C24" s="54" t="s">
        <v>42</v>
      </c>
      <c r="D24" s="55">
        <f>D18+D20+D22</f>
        <v>86374.537984472161</v>
      </c>
      <c r="E24" s="35">
        <f t="shared" ref="E24:O24" si="4">E18+E20+E22</f>
        <v>496231.76101311919</v>
      </c>
      <c r="F24" s="35">
        <f t="shared" si="4"/>
        <v>235829.05149292844</v>
      </c>
      <c r="G24" s="35">
        <f t="shared" si="4"/>
        <v>160286.49339305706</v>
      </c>
      <c r="H24" s="35">
        <f t="shared" si="4"/>
        <v>164565.92164085893</v>
      </c>
      <c r="I24" s="35">
        <f t="shared" si="4"/>
        <v>197271.44433868802</v>
      </c>
      <c r="J24" s="35">
        <f t="shared" si="4"/>
        <v>50366.809164999453</v>
      </c>
      <c r="K24" s="35">
        <f t="shared" si="4"/>
        <v>50372.244390400585</v>
      </c>
      <c r="L24" s="35">
        <f t="shared" si="4"/>
        <v>241041.36761080069</v>
      </c>
      <c r="M24" s="35">
        <f t="shared" si="4"/>
        <v>408911.9020365238</v>
      </c>
      <c r="N24" s="35">
        <f t="shared" si="4"/>
        <v>480173.98374835181</v>
      </c>
      <c r="O24" s="56">
        <f t="shared" si="4"/>
        <v>445483.61633902095</v>
      </c>
      <c r="P24" s="40">
        <f>SUM(D24:O24)</f>
        <v>3016909.1331532211</v>
      </c>
      <c r="Q24" s="57"/>
    </row>
    <row r="25" spans="1:17" x14ac:dyDescent="0.2">
      <c r="A25" s="51"/>
      <c r="C25" s="54"/>
      <c r="D25" s="50"/>
      <c r="E25" s="17"/>
      <c r="F25" s="17"/>
      <c r="G25" s="17"/>
      <c r="H25" s="17"/>
      <c r="I25" s="17"/>
      <c r="J25" s="17"/>
      <c r="K25" s="17"/>
      <c r="L25" s="17"/>
      <c r="M25" s="17"/>
      <c r="N25" s="17"/>
      <c r="O25" s="43"/>
    </row>
    <row r="26" spans="1:17" x14ac:dyDescent="0.2">
      <c r="A26" s="51"/>
      <c r="B26" s="36" t="s">
        <v>43</v>
      </c>
      <c r="C26" s="54"/>
      <c r="D26" s="50"/>
      <c r="E26" s="17"/>
      <c r="F26" s="17"/>
      <c r="G26" s="17"/>
      <c r="H26" s="17"/>
      <c r="I26" s="17"/>
      <c r="J26" s="17"/>
      <c r="K26" s="62"/>
      <c r="L26" s="17"/>
      <c r="M26" s="62"/>
      <c r="N26" s="17"/>
      <c r="O26" s="43"/>
    </row>
    <row r="27" spans="1:17" x14ac:dyDescent="0.2">
      <c r="A27" s="51"/>
      <c r="B27" s="53"/>
      <c r="C27" s="54"/>
      <c r="D27" s="42"/>
      <c r="E27" s="34"/>
      <c r="F27" s="34"/>
      <c r="G27" s="34"/>
      <c r="H27" s="34"/>
      <c r="I27" s="34"/>
      <c r="J27" s="34"/>
      <c r="K27" s="34"/>
      <c r="L27" s="34"/>
      <c r="M27" s="34"/>
      <c r="N27" s="34"/>
      <c r="O27" s="52"/>
      <c r="P27" s="40"/>
      <c r="Q27" s="57"/>
    </row>
    <row r="28" spans="1:17" ht="15" customHeight="1" x14ac:dyDescent="0.2">
      <c r="A28" s="51">
        <f>MAX($A$10:A27)+1</f>
        <v>9</v>
      </c>
      <c r="B28" s="63" t="s">
        <v>44</v>
      </c>
      <c r="C28" s="54" t="s">
        <v>45</v>
      </c>
      <c r="D28" s="42">
        <f t="shared" ref="D28:K28" si="5">2000000/12</f>
        <v>166666.66666666666</v>
      </c>
      <c r="E28" s="34">
        <f t="shared" si="5"/>
        <v>166666.66666666666</v>
      </c>
      <c r="F28" s="34">
        <f t="shared" si="5"/>
        <v>166666.66666666666</v>
      </c>
      <c r="G28" s="34">
        <f t="shared" si="5"/>
        <v>166666.66666666666</v>
      </c>
      <c r="H28" s="34">
        <f t="shared" si="5"/>
        <v>166666.66666666666</v>
      </c>
      <c r="I28" s="34">
        <f t="shared" si="5"/>
        <v>166666.66666666666</v>
      </c>
      <c r="J28" s="34">
        <f t="shared" si="5"/>
        <v>166666.66666666666</v>
      </c>
      <c r="K28" s="34">
        <f t="shared" si="5"/>
        <v>166666.66666666666</v>
      </c>
      <c r="L28" s="34">
        <f>2000000/12</f>
        <v>166666.66666666666</v>
      </c>
      <c r="M28" s="34">
        <f>2000000/12</f>
        <v>166666.66666666666</v>
      </c>
      <c r="N28" s="34">
        <f>2000000/12</f>
        <v>166666.66666666666</v>
      </c>
      <c r="O28" s="52">
        <f>2000000/12</f>
        <v>166666.66666666666</v>
      </c>
      <c r="P28" s="40">
        <f>SUM(D28:O28)</f>
        <v>2000000.0000000002</v>
      </c>
    </row>
    <row r="29" spans="1:17" ht="6.75" customHeight="1" x14ac:dyDescent="0.2">
      <c r="A29" s="51"/>
      <c r="B29" s="53"/>
      <c r="C29" s="54"/>
      <c r="D29" s="42"/>
      <c r="E29" s="34"/>
      <c r="F29" s="34"/>
      <c r="G29" s="34"/>
      <c r="H29" s="34"/>
      <c r="I29" s="34"/>
      <c r="J29" s="34"/>
      <c r="K29" s="34"/>
      <c r="L29" s="34"/>
      <c r="M29" s="34"/>
      <c r="N29" s="34"/>
      <c r="O29" s="52"/>
      <c r="P29" s="40"/>
    </row>
    <row r="30" spans="1:17" x14ac:dyDescent="0.2">
      <c r="A30" s="51">
        <f>MAX($A$12:A29)+1</f>
        <v>10</v>
      </c>
      <c r="B30" s="54" t="s">
        <v>46</v>
      </c>
      <c r="C30" s="54" t="s">
        <v>47</v>
      </c>
      <c r="D30" s="64">
        <v>-41157.769999999997</v>
      </c>
      <c r="E30" s="65">
        <v>-38836.629999999997</v>
      </c>
      <c r="F30" s="65">
        <v>-37113.26</v>
      </c>
      <c r="G30" s="65">
        <v>-34560.850000000006</v>
      </c>
      <c r="H30" s="65">
        <v>-34332.94</v>
      </c>
      <c r="I30" s="65">
        <v>-53419.88</v>
      </c>
      <c r="J30" s="65">
        <v>-88301.64</v>
      </c>
      <c r="K30" s="65">
        <v>-100638.03</v>
      </c>
      <c r="L30" s="65">
        <v>-94676.04</v>
      </c>
      <c r="M30" s="65">
        <v>-63668.36</v>
      </c>
      <c r="N30" s="65">
        <v>-62460.47</v>
      </c>
      <c r="O30" s="66">
        <v>-68076.67</v>
      </c>
      <c r="P30" s="40">
        <f>SUM(D30:O30)</f>
        <v>-717242.54</v>
      </c>
    </row>
    <row r="31" spans="1:17" x14ac:dyDescent="0.2">
      <c r="A31" s="51"/>
      <c r="B31" s="54"/>
      <c r="C31" s="54"/>
      <c r="D31" s="64"/>
      <c r="E31" s="65"/>
      <c r="F31" s="65"/>
      <c r="G31" s="65"/>
      <c r="H31" s="65"/>
      <c r="I31" s="65"/>
      <c r="J31" s="65"/>
      <c r="K31" s="65"/>
      <c r="L31" s="65"/>
      <c r="M31" s="65"/>
      <c r="N31" s="65"/>
      <c r="O31" s="66"/>
      <c r="P31" s="40"/>
    </row>
    <row r="32" spans="1:17" x14ac:dyDescent="0.2">
      <c r="A32" s="51">
        <f>MAX($A$10:A31)+1</f>
        <v>11</v>
      </c>
      <c r="B32" s="53" t="s">
        <v>48</v>
      </c>
      <c r="C32" s="54" t="s">
        <v>49</v>
      </c>
      <c r="D32" s="42">
        <f>D30+D28</f>
        <v>125508.89666666667</v>
      </c>
      <c r="E32" s="34">
        <f t="shared" ref="E32:O32" si="6">E30+E28</f>
        <v>127830.03666666665</v>
      </c>
      <c r="F32" s="34">
        <f t="shared" si="6"/>
        <v>129553.40666666665</v>
      </c>
      <c r="G32" s="34">
        <f t="shared" si="6"/>
        <v>132105.81666666665</v>
      </c>
      <c r="H32" s="34">
        <f t="shared" si="6"/>
        <v>132333.72666666665</v>
      </c>
      <c r="I32" s="34">
        <f t="shared" si="6"/>
        <v>113246.78666666665</v>
      </c>
      <c r="J32" s="34">
        <f t="shared" si="6"/>
        <v>78365.026666666658</v>
      </c>
      <c r="K32" s="34">
        <f t="shared" si="6"/>
        <v>66028.636666666658</v>
      </c>
      <c r="L32" s="34">
        <f t="shared" si="6"/>
        <v>71990.626666666663</v>
      </c>
      <c r="M32" s="34">
        <f t="shared" si="6"/>
        <v>102998.30666666666</v>
      </c>
      <c r="N32" s="34">
        <f t="shared" si="6"/>
        <v>104206.19666666666</v>
      </c>
      <c r="O32" s="52">
        <f t="shared" si="6"/>
        <v>98589.996666666659</v>
      </c>
      <c r="P32" s="40">
        <f>SUM(D32:O32)</f>
        <v>1282757.46</v>
      </c>
      <c r="Q32" s="57"/>
    </row>
    <row r="33" spans="1:18" x14ac:dyDescent="0.2">
      <c r="A33" s="51"/>
      <c r="B33" s="53"/>
      <c r="C33" s="67"/>
      <c r="D33" s="50"/>
      <c r="E33" s="17"/>
      <c r="F33" s="17"/>
      <c r="G33" s="17"/>
      <c r="H33" s="17"/>
      <c r="I33" s="17"/>
      <c r="J33" s="17"/>
      <c r="K33" s="17"/>
      <c r="L33" s="17"/>
      <c r="M33" s="17"/>
      <c r="N33" s="17"/>
      <c r="O33" s="43"/>
      <c r="P33" s="40"/>
    </row>
    <row r="34" spans="1:18" x14ac:dyDescent="0.2">
      <c r="A34" s="51">
        <f>MAX($A$10:A33)+1</f>
        <v>12</v>
      </c>
      <c r="B34" s="53" t="s">
        <v>50</v>
      </c>
      <c r="C34" s="54" t="s">
        <v>51</v>
      </c>
      <c r="D34" s="55">
        <f>D24-D32</f>
        <v>-39134.358682194506</v>
      </c>
      <c r="E34" s="35">
        <f t="shared" ref="E34:O34" si="7">E24-E32</f>
        <v>368401.72434645251</v>
      </c>
      <c r="F34" s="35">
        <f t="shared" si="7"/>
        <v>106275.64482626179</v>
      </c>
      <c r="G34" s="35">
        <f t="shared" si="7"/>
        <v>28180.676726390404</v>
      </c>
      <c r="H34" s="35">
        <f t="shared" si="7"/>
        <v>32232.194974192273</v>
      </c>
      <c r="I34" s="35">
        <f t="shared" si="7"/>
        <v>84024.657672021363</v>
      </c>
      <c r="J34" s="35">
        <f t="shared" si="7"/>
        <v>-27998.217501667204</v>
      </c>
      <c r="K34" s="35">
        <f t="shared" si="7"/>
        <v>-15656.392276266073</v>
      </c>
      <c r="L34" s="35">
        <f t="shared" si="7"/>
        <v>169050.74094413401</v>
      </c>
      <c r="M34" s="35">
        <f t="shared" si="7"/>
        <v>305913.59536985715</v>
      </c>
      <c r="N34" s="35">
        <f t="shared" si="7"/>
        <v>375967.78708168515</v>
      </c>
      <c r="O34" s="56">
        <f t="shared" si="7"/>
        <v>346893.61967235431</v>
      </c>
      <c r="P34" s="40">
        <f>SUM(D34:O34)</f>
        <v>1734151.6731532211</v>
      </c>
      <c r="Q34" s="57"/>
    </row>
    <row r="35" spans="1:18" x14ac:dyDescent="0.2">
      <c r="A35" s="51"/>
      <c r="B35" s="53"/>
      <c r="C35" s="54"/>
      <c r="D35" s="50"/>
      <c r="E35" s="17"/>
      <c r="F35" s="17"/>
      <c r="G35" s="17"/>
      <c r="H35" s="17"/>
      <c r="I35" s="17"/>
      <c r="J35" s="17"/>
      <c r="K35" s="17"/>
      <c r="L35" s="17"/>
      <c r="M35" s="17"/>
      <c r="N35" s="17"/>
      <c r="O35" s="43"/>
    </row>
    <row r="36" spans="1:18" x14ac:dyDescent="0.2">
      <c r="A36" s="51"/>
      <c r="B36" s="53"/>
      <c r="C36" s="54"/>
      <c r="D36" s="50"/>
      <c r="E36" s="17"/>
      <c r="F36" s="17"/>
      <c r="G36" s="17"/>
      <c r="H36" s="17"/>
      <c r="I36" s="17"/>
      <c r="J36" s="17"/>
      <c r="K36" s="17"/>
      <c r="L36" s="17"/>
      <c r="M36" s="17"/>
      <c r="N36" s="17"/>
      <c r="O36" s="43"/>
    </row>
    <row r="37" spans="1:18" x14ac:dyDescent="0.2">
      <c r="A37" s="51">
        <f>MAX($A$10:A36)+1</f>
        <v>13</v>
      </c>
      <c r="B37" s="53" t="str">
        <f>"CY "&amp;YEAR(A3)-1&amp;" Deferral Balance"</f>
        <v>CY 2019 Deferral Balance</v>
      </c>
      <c r="C37" s="54" t="s">
        <v>52</v>
      </c>
      <c r="D37" s="68">
        <v>-1044248.7854507305</v>
      </c>
      <c r="E37" s="35">
        <f t="shared" ref="E37:O37" si="8">D40</f>
        <v>-1087008.983546257</v>
      </c>
      <c r="F37" s="35">
        <f t="shared" si="8"/>
        <v>-721684.33021348424</v>
      </c>
      <c r="G37" s="35">
        <f t="shared" si="8"/>
        <v>-617687.31473464193</v>
      </c>
      <c r="H37" s="35">
        <f t="shared" si="8"/>
        <v>-591704.73699720425</v>
      </c>
      <c r="I37" s="35">
        <f t="shared" si="8"/>
        <v>-561568.64398522791</v>
      </c>
      <c r="J37" s="35">
        <f t="shared" si="8"/>
        <v>-479436.03722754162</v>
      </c>
      <c r="K37" s="35">
        <f t="shared" si="8"/>
        <v>-509231.18105248007</v>
      </c>
      <c r="L37" s="35">
        <f t="shared" si="8"/>
        <v>-526770.53122734861</v>
      </c>
      <c r="M37" s="35">
        <f t="shared" si="8"/>
        <v>-359330.29974363174</v>
      </c>
      <c r="N37" s="35">
        <f t="shared" si="8"/>
        <v>-54168.24787710503</v>
      </c>
      <c r="O37" s="56">
        <f t="shared" si="8"/>
        <v>322286.85118087224</v>
      </c>
    </row>
    <row r="38" spans="1:18" x14ac:dyDescent="0.2">
      <c r="A38" s="51">
        <f>MAX($A$10:A37)+1</f>
        <v>14</v>
      </c>
      <c r="B38" s="53" t="s">
        <v>53</v>
      </c>
      <c r="C38" s="54" t="s">
        <v>54</v>
      </c>
      <c r="D38" s="55">
        <f>D34</f>
        <v>-39134.358682194506</v>
      </c>
      <c r="E38" s="35">
        <f t="shared" ref="E38:O38" si="9">E34</f>
        <v>368401.72434645251</v>
      </c>
      <c r="F38" s="35">
        <f t="shared" si="9"/>
        <v>106275.64482626179</v>
      </c>
      <c r="G38" s="35">
        <f t="shared" si="9"/>
        <v>28180.676726390404</v>
      </c>
      <c r="H38" s="35">
        <f t="shared" si="9"/>
        <v>32232.194974192273</v>
      </c>
      <c r="I38" s="35">
        <f t="shared" si="9"/>
        <v>84024.657672021363</v>
      </c>
      <c r="J38" s="35">
        <f t="shared" si="9"/>
        <v>-27998.217501667204</v>
      </c>
      <c r="K38" s="35">
        <f t="shared" si="9"/>
        <v>-15656.392276266073</v>
      </c>
      <c r="L38" s="35">
        <f t="shared" si="9"/>
        <v>169050.74094413401</v>
      </c>
      <c r="M38" s="35">
        <f t="shared" si="9"/>
        <v>305913.59536985715</v>
      </c>
      <c r="N38" s="35">
        <f t="shared" si="9"/>
        <v>375967.78708168515</v>
      </c>
      <c r="O38" s="56">
        <f t="shared" si="9"/>
        <v>346893.61967235431</v>
      </c>
      <c r="P38" s="40">
        <f>SUM(D38:O38)</f>
        <v>1734151.6731532211</v>
      </c>
      <c r="Q38" s="57"/>
    </row>
    <row r="39" spans="1:18" x14ac:dyDescent="0.2">
      <c r="A39" s="51">
        <f>MAX($A$10:A38)+1</f>
        <v>15</v>
      </c>
      <c r="B39" s="53" t="s">
        <v>55</v>
      </c>
      <c r="C39" s="54" t="s">
        <v>56</v>
      </c>
      <c r="D39" s="42">
        <f>(D37+0.5*D38)*$D$57/12</f>
        <v>-3625.8394133321467</v>
      </c>
      <c r="E39" s="34">
        <f>(E37+0.5*E38)*$D$57/12</f>
        <v>-3077.0710136797466</v>
      </c>
      <c r="F39" s="34">
        <f>(F37+0.5*F38)*$D$57/12</f>
        <v>-2278.6293474195377</v>
      </c>
      <c r="G39" s="34">
        <f t="shared" ref="G39:O39" si="10">(G37+0.5*G38)*$D$58/12</f>
        <v>-2198.0989889526854</v>
      </c>
      <c r="H39" s="34">
        <f t="shared" si="10"/>
        <v>-2096.1019622159774</v>
      </c>
      <c r="I39" s="34">
        <f t="shared" si="10"/>
        <v>-1892.0509143350664</v>
      </c>
      <c r="J39" s="34">
        <f t="shared" si="10"/>
        <v>-1796.9263232712499</v>
      </c>
      <c r="K39" s="34">
        <f>(K37+0.5*K38)*$D$58/12</f>
        <v>-1882.9578986024828</v>
      </c>
      <c r="L39" s="34">
        <f t="shared" si="10"/>
        <v>-1610.5094604171506</v>
      </c>
      <c r="M39" s="34">
        <f t="shared" si="10"/>
        <v>-751.54350333044397</v>
      </c>
      <c r="N39" s="34">
        <f t="shared" si="10"/>
        <v>487.31197629211096</v>
      </c>
      <c r="O39" s="52">
        <f t="shared" si="10"/>
        <v>1805.2967488704217</v>
      </c>
      <c r="P39" s="40">
        <f>SUM(D39:O39)</f>
        <v>-18917.12010039395</v>
      </c>
      <c r="Q39" s="57"/>
    </row>
    <row r="40" spans="1:18" x14ac:dyDescent="0.2">
      <c r="A40" s="51">
        <f>MAX($A$10:A39)+1</f>
        <v>16</v>
      </c>
      <c r="B40" s="69" t="str">
        <f>"Ending Deferral Balance - "&amp;YEAR(A3)&amp;" RBA"</f>
        <v>Ending Deferral Balance - 2020 RBA</v>
      </c>
      <c r="C40" s="54" t="s">
        <v>57</v>
      </c>
      <c r="D40" s="70">
        <f>D37+D38+D39</f>
        <v>-1087008.983546257</v>
      </c>
      <c r="E40" s="71">
        <f>E37+E38+E39</f>
        <v>-721684.33021348424</v>
      </c>
      <c r="F40" s="71">
        <f t="shared" ref="F40:O40" si="11">F37+F38+F39</f>
        <v>-617687.31473464193</v>
      </c>
      <c r="G40" s="71">
        <f t="shared" si="11"/>
        <v>-591704.73699720425</v>
      </c>
      <c r="H40" s="71">
        <f t="shared" si="11"/>
        <v>-561568.64398522791</v>
      </c>
      <c r="I40" s="71">
        <f t="shared" si="11"/>
        <v>-479436.03722754162</v>
      </c>
      <c r="J40" s="71">
        <f t="shared" si="11"/>
        <v>-509231.18105248007</v>
      </c>
      <c r="K40" s="71">
        <f t="shared" si="11"/>
        <v>-526770.53122734861</v>
      </c>
      <c r="L40" s="71">
        <f t="shared" si="11"/>
        <v>-359330.29974363174</v>
      </c>
      <c r="M40" s="71">
        <f t="shared" si="11"/>
        <v>-54168.24787710503</v>
      </c>
      <c r="N40" s="71">
        <f t="shared" si="11"/>
        <v>322286.85118087224</v>
      </c>
      <c r="O40" s="72">
        <f t="shared" si="11"/>
        <v>670985.76760209689</v>
      </c>
      <c r="P40" s="40"/>
      <c r="Q40" s="57"/>
      <c r="R40" s="40"/>
    </row>
    <row r="41" spans="1:18" x14ac:dyDescent="0.2">
      <c r="A41" s="51"/>
      <c r="C41" s="54"/>
      <c r="K41" s="40"/>
      <c r="L41" s="40"/>
      <c r="M41" s="40"/>
      <c r="N41" s="40"/>
      <c r="O41" s="40"/>
      <c r="P41" s="40"/>
      <c r="R41" s="40"/>
    </row>
    <row r="42" spans="1:18" x14ac:dyDescent="0.2">
      <c r="A42" s="51"/>
      <c r="C42" s="54"/>
      <c r="D42" s="38"/>
      <c r="E42" s="38"/>
      <c r="F42" s="38"/>
      <c r="G42" s="38"/>
      <c r="H42" s="38"/>
      <c r="I42" s="38"/>
      <c r="J42" s="38"/>
      <c r="L42" s="40"/>
      <c r="M42" s="40"/>
      <c r="N42" s="40"/>
      <c r="O42" s="40"/>
      <c r="R42" s="40"/>
    </row>
    <row r="43" spans="1:18" x14ac:dyDescent="0.2">
      <c r="A43" s="51"/>
      <c r="C43" s="54"/>
      <c r="E43" s="40"/>
      <c r="F43" s="40"/>
      <c r="G43" s="40"/>
      <c r="H43" s="40"/>
      <c r="I43" s="40"/>
      <c r="J43" s="40"/>
      <c r="K43" s="40"/>
      <c r="L43" s="40"/>
      <c r="M43" s="40"/>
      <c r="Q43" s="73"/>
      <c r="R43" s="57"/>
    </row>
    <row r="44" spans="1:18" ht="15" x14ac:dyDescent="0.25">
      <c r="A44" s="74" t="s">
        <v>58</v>
      </c>
      <c r="D44"/>
      <c r="E44"/>
      <c r="F44"/>
      <c r="G44"/>
      <c r="H44"/>
      <c r="I44"/>
      <c r="J44" s="75"/>
      <c r="K44" s="76"/>
      <c r="L44" s="76"/>
      <c r="M44" s="76"/>
      <c r="N44" s="76"/>
      <c r="O44" s="76"/>
      <c r="P44" s="17"/>
    </row>
    <row r="45" spans="1:18" x14ac:dyDescent="0.2">
      <c r="B45" s="36"/>
      <c r="C45" s="36"/>
      <c r="D45" s="34"/>
      <c r="E45" s="34"/>
      <c r="F45" s="34"/>
      <c r="G45" s="34"/>
      <c r="H45" s="34"/>
      <c r="I45" s="34"/>
      <c r="J45" s="34"/>
      <c r="K45" s="34"/>
      <c r="L45" s="34"/>
      <c r="M45" s="17"/>
      <c r="N45" s="17"/>
      <c r="O45" s="17"/>
      <c r="P45" s="17"/>
    </row>
    <row r="46" spans="1:18" x14ac:dyDescent="0.2">
      <c r="A46" s="44" t="s">
        <v>11</v>
      </c>
      <c r="B46" s="44"/>
      <c r="C46" s="45" t="s">
        <v>12</v>
      </c>
      <c r="D46" s="47">
        <f>EDATE(O9,1)</f>
        <v>43831</v>
      </c>
      <c r="E46" s="47">
        <f>EDATE(D46,1)</f>
        <v>43862</v>
      </c>
      <c r="F46" s="47">
        <f t="shared" ref="F46:I46" si="12">EDATE(E46,1)</f>
        <v>43891</v>
      </c>
      <c r="G46" s="47">
        <f t="shared" si="12"/>
        <v>43922</v>
      </c>
      <c r="H46" s="47">
        <f t="shared" si="12"/>
        <v>43952</v>
      </c>
      <c r="I46" s="47">
        <f t="shared" si="12"/>
        <v>43983</v>
      </c>
      <c r="J46" s="49" t="s">
        <v>30</v>
      </c>
      <c r="K46" s="77"/>
      <c r="L46" s="17"/>
      <c r="M46" s="17"/>
      <c r="N46" s="17"/>
      <c r="O46" s="17"/>
      <c r="P46" s="17"/>
      <c r="Q46" s="18"/>
    </row>
    <row r="47" spans="1:18" x14ac:dyDescent="0.2">
      <c r="D47" s="17"/>
      <c r="E47" s="17"/>
      <c r="F47" s="17"/>
      <c r="G47" s="17"/>
      <c r="H47" s="17"/>
      <c r="I47" s="17"/>
      <c r="J47" s="17"/>
      <c r="K47" s="38"/>
      <c r="Q47" s="18"/>
    </row>
    <row r="48" spans="1:18" x14ac:dyDescent="0.2">
      <c r="A48" s="51">
        <f>MAX($A$12:A47)+1</f>
        <v>17</v>
      </c>
      <c r="B48" s="54" t="s">
        <v>46</v>
      </c>
      <c r="C48" s="54" t="s">
        <v>47</v>
      </c>
      <c r="D48" s="65">
        <v>-69991.75</v>
      </c>
      <c r="E48" s="65">
        <v>-61000</v>
      </c>
      <c r="F48" s="65">
        <f>E48</f>
        <v>-61000</v>
      </c>
      <c r="G48" s="65">
        <f t="shared" ref="G48:H48" si="13">F48</f>
        <v>-61000</v>
      </c>
      <c r="H48" s="65">
        <f t="shared" si="13"/>
        <v>-61000</v>
      </c>
      <c r="I48" s="65">
        <f>H48/2</f>
        <v>-30500</v>
      </c>
      <c r="J48" s="35">
        <f>SUM(D48:I48)</f>
        <v>-344491.75</v>
      </c>
      <c r="K48" s="38"/>
      <c r="Q48" s="18"/>
    </row>
    <row r="49" spans="1:17" x14ac:dyDescent="0.2">
      <c r="A49" s="51"/>
      <c r="B49" s="54"/>
      <c r="C49" s="54"/>
      <c r="D49" s="65"/>
      <c r="E49" s="65"/>
      <c r="F49" s="65"/>
      <c r="G49" s="65"/>
      <c r="H49" s="65"/>
      <c r="I49" s="65"/>
      <c r="J49" s="35"/>
      <c r="K49" s="38"/>
      <c r="Q49" s="18"/>
    </row>
    <row r="50" spans="1:17" x14ac:dyDescent="0.2">
      <c r="A50" s="51">
        <f>MAX($A$13:A48)+1</f>
        <v>18</v>
      </c>
      <c r="B50" s="54" t="s">
        <v>59</v>
      </c>
      <c r="C50" s="54" t="s">
        <v>60</v>
      </c>
      <c r="D50" s="78">
        <f>O40</f>
        <v>670985.76760209689</v>
      </c>
      <c r="E50" s="78">
        <f>D53</f>
        <v>743548.46741723956</v>
      </c>
      <c r="F50" s="78">
        <f t="shared" ref="F50:I50" si="14">E53</f>
        <v>807367.29391941731</v>
      </c>
      <c r="G50" s="78">
        <f t="shared" si="14"/>
        <v>871418.52731477388</v>
      </c>
      <c r="H50" s="78">
        <f t="shared" si="14"/>
        <v>935334.73055309162</v>
      </c>
      <c r="I50" s="78">
        <f t="shared" si="14"/>
        <v>999457.59618187998</v>
      </c>
      <c r="J50" s="17"/>
      <c r="K50" s="38"/>
      <c r="Q50" s="18"/>
    </row>
    <row r="51" spans="1:17" x14ac:dyDescent="0.2">
      <c r="A51" s="51">
        <f>MAX($A$12:A50)+1</f>
        <v>19</v>
      </c>
      <c r="B51" s="58" t="s">
        <v>61</v>
      </c>
      <c r="C51" s="54" t="s">
        <v>62</v>
      </c>
      <c r="D51" s="78">
        <f>-D48</f>
        <v>69991.75</v>
      </c>
      <c r="E51" s="78">
        <f>-E48</f>
        <v>61000</v>
      </c>
      <c r="F51" s="78">
        <f t="shared" ref="F51:I51" si="15">-F48</f>
        <v>61000</v>
      </c>
      <c r="G51" s="78">
        <f t="shared" si="15"/>
        <v>61000</v>
      </c>
      <c r="H51" s="78">
        <f t="shared" si="15"/>
        <v>61000</v>
      </c>
      <c r="I51" s="78">
        <f t="shared" si="15"/>
        <v>30500</v>
      </c>
      <c r="J51" s="35">
        <f>SUM(D51:I51)</f>
        <v>344491.75</v>
      </c>
      <c r="K51" s="38"/>
      <c r="Q51" s="18"/>
    </row>
    <row r="52" spans="1:17" ht="13.5" thickBot="1" x14ac:dyDescent="0.25">
      <c r="A52" s="51">
        <f>MAX($A$12:A51)+1</f>
        <v>20</v>
      </c>
      <c r="B52" s="58" t="s">
        <v>55</v>
      </c>
      <c r="C52" s="54" t="s">
        <v>63</v>
      </c>
      <c r="D52" s="35">
        <f>(D50+0.5*D51)*$D$58/12</f>
        <v>2570.9498151426365</v>
      </c>
      <c r="E52" s="35">
        <f>(E50+0.5*E51)*$D$58/12</f>
        <v>2818.8265021777806</v>
      </c>
      <c r="F52" s="35">
        <f>(F50+0.5*F51)*$D$58/12</f>
        <v>3051.2333953565449</v>
      </c>
      <c r="G52" s="35">
        <f>(G50+0.5*G51)*$D$59/12</f>
        <v>2916.2032383177689</v>
      </c>
      <c r="H52" s="35">
        <f>(H50+0.5*H51)*$D$59/12</f>
        <v>3122.8656287883296</v>
      </c>
      <c r="I52" s="35">
        <v>0</v>
      </c>
      <c r="J52" s="35">
        <f>SUM(D52:I52)</f>
        <v>14480.078579783059</v>
      </c>
      <c r="K52" s="38"/>
      <c r="Q52" s="18"/>
    </row>
    <row r="53" spans="1:17" ht="13.5" thickBot="1" x14ac:dyDescent="0.25">
      <c r="A53" s="51">
        <f>MAX($A$12:A52)+1</f>
        <v>21</v>
      </c>
      <c r="B53" s="79" t="s">
        <v>64</v>
      </c>
      <c r="C53" s="54" t="s">
        <v>65</v>
      </c>
      <c r="D53" s="35">
        <f>D50+D51+D52</f>
        <v>743548.46741723956</v>
      </c>
      <c r="E53" s="35">
        <f t="shared" ref="E53:H53" si="16">E50+E51+E52</f>
        <v>807367.29391941731</v>
      </c>
      <c r="F53" s="35">
        <f t="shared" si="16"/>
        <v>871418.52731477388</v>
      </c>
      <c r="G53" s="35">
        <f t="shared" si="16"/>
        <v>935334.73055309162</v>
      </c>
      <c r="H53" s="35">
        <f t="shared" si="16"/>
        <v>999457.59618187998</v>
      </c>
      <c r="I53" s="80">
        <f>I50+I51</f>
        <v>1029957.59618188</v>
      </c>
      <c r="J53" s="35"/>
      <c r="K53" s="38"/>
      <c r="Q53" s="18"/>
    </row>
    <row r="54" spans="1:17" x14ac:dyDescent="0.2">
      <c r="A54" s="51"/>
      <c r="D54" s="17"/>
      <c r="E54" s="17"/>
      <c r="F54" s="17"/>
      <c r="G54" s="17"/>
      <c r="H54" s="17"/>
      <c r="I54" s="17"/>
      <c r="J54" s="17"/>
      <c r="K54" s="38"/>
      <c r="Q54" s="18"/>
    </row>
    <row r="55" spans="1:17" x14ac:dyDescent="0.2">
      <c r="A55" s="51"/>
      <c r="D55" s="81"/>
      <c r="E55" s="17"/>
      <c r="F55" s="17"/>
      <c r="G55" s="17"/>
      <c r="H55" s="17"/>
      <c r="I55" s="17"/>
      <c r="J55" s="17"/>
      <c r="K55" s="38"/>
      <c r="Q55" s="18"/>
    </row>
    <row r="56" spans="1:17" s="22" customFormat="1" x14ac:dyDescent="0.2">
      <c r="A56" s="82" t="s">
        <v>66</v>
      </c>
      <c r="B56" s="83"/>
      <c r="C56" s="84"/>
      <c r="D56" s="83"/>
      <c r="E56" s="83"/>
      <c r="F56" s="83"/>
      <c r="G56" s="83"/>
      <c r="H56" s="83"/>
      <c r="I56" s="83"/>
      <c r="J56" s="16"/>
      <c r="K56" s="85"/>
    </row>
    <row r="57" spans="1:17" s="22" customFormat="1" x14ac:dyDescent="0.2">
      <c r="A57" s="51">
        <f>MAX($A$12:A55)+1</f>
        <v>22</v>
      </c>
      <c r="B57" s="37" t="s">
        <v>67</v>
      </c>
      <c r="C57" s="86" t="s">
        <v>68</v>
      </c>
      <c r="D57" s="87">
        <v>4.0899999999999999E-2</v>
      </c>
      <c r="E57" s="88"/>
      <c r="F57" s="88"/>
      <c r="G57" s="88"/>
      <c r="H57" s="88"/>
      <c r="I57" s="88"/>
      <c r="J57" s="16"/>
      <c r="K57" s="85"/>
    </row>
    <row r="58" spans="1:17" s="22" customFormat="1" x14ac:dyDescent="0.2">
      <c r="A58" s="51">
        <f>MAX($A$12:A57)+1</f>
        <v>23</v>
      </c>
      <c r="B58" s="37" t="s">
        <v>69</v>
      </c>
      <c r="C58" s="37" t="s">
        <v>70</v>
      </c>
      <c r="D58" s="87">
        <v>4.3700000000000003E-2</v>
      </c>
      <c r="E58" s="37"/>
      <c r="F58" s="37"/>
      <c r="G58" s="88"/>
      <c r="H58" s="88"/>
      <c r="I58" s="88"/>
      <c r="J58" s="37"/>
      <c r="K58" s="89"/>
      <c r="L58" s="89"/>
      <c r="M58" s="89"/>
      <c r="N58" s="89"/>
      <c r="O58" s="89"/>
      <c r="Q58" s="85"/>
    </row>
    <row r="59" spans="1:17" s="22" customFormat="1" x14ac:dyDescent="0.2">
      <c r="A59" s="51">
        <f>MAX($A$12:A58)+1</f>
        <v>24</v>
      </c>
      <c r="B59" s="37" t="s">
        <v>71</v>
      </c>
      <c r="C59" s="37" t="s">
        <v>72</v>
      </c>
      <c r="D59" s="87">
        <v>3.8800000000000001E-2</v>
      </c>
      <c r="E59" s="37"/>
      <c r="F59" s="37"/>
      <c r="G59" s="88"/>
      <c r="H59" s="88"/>
      <c r="I59" s="88"/>
      <c r="J59" s="37"/>
      <c r="K59" s="89"/>
      <c r="L59" s="89"/>
      <c r="M59" s="89"/>
      <c r="N59" s="89"/>
      <c r="O59" s="89"/>
      <c r="Q59" s="85"/>
    </row>
    <row r="60" spans="1:17" s="22" customFormat="1" x14ac:dyDescent="0.2">
      <c r="A60" s="51"/>
      <c r="B60" s="37"/>
      <c r="C60" s="36"/>
      <c r="D60" s="87"/>
      <c r="E60" s="89"/>
      <c r="F60" s="89"/>
      <c r="G60" s="89"/>
      <c r="H60" s="89"/>
      <c r="I60" s="89"/>
      <c r="J60" s="89"/>
      <c r="K60" s="89"/>
      <c r="L60" s="89"/>
      <c r="M60" s="89"/>
      <c r="N60" s="89"/>
      <c r="O60" s="89"/>
      <c r="Q60" s="85"/>
    </row>
    <row r="61" spans="1:17" x14ac:dyDescent="0.2">
      <c r="A61" s="51"/>
      <c r="D61" s="90"/>
      <c r="O61" s="40"/>
    </row>
    <row r="62" spans="1:17" ht="12.75" customHeight="1" x14ac:dyDescent="0.2">
      <c r="A62" s="229" t="s">
        <v>117</v>
      </c>
      <c r="B62" s="229"/>
      <c r="C62" s="229"/>
      <c r="D62" s="229"/>
      <c r="E62" s="229"/>
      <c r="F62" s="229"/>
      <c r="G62" s="229"/>
      <c r="H62" s="229"/>
      <c r="I62" s="229"/>
      <c r="J62" s="229"/>
      <c r="K62" s="229"/>
      <c r="L62" s="229"/>
      <c r="M62" s="229"/>
      <c r="N62" s="229"/>
      <c r="O62" s="229"/>
      <c r="P62" s="229"/>
    </row>
    <row r="63" spans="1:17" x14ac:dyDescent="0.2">
      <c r="A63" s="229"/>
      <c r="B63" s="229"/>
      <c r="C63" s="229"/>
      <c r="D63" s="229"/>
      <c r="E63" s="229"/>
      <c r="F63" s="229"/>
      <c r="G63" s="229"/>
      <c r="H63" s="229"/>
      <c r="I63" s="229"/>
      <c r="J63" s="229"/>
      <c r="K63" s="229"/>
      <c r="L63" s="229"/>
      <c r="M63" s="229"/>
      <c r="N63" s="229"/>
      <c r="O63" s="229"/>
      <c r="P63" s="229"/>
    </row>
    <row r="64" spans="1:17" x14ac:dyDescent="0.2">
      <c r="A64" s="229"/>
      <c r="B64" s="229"/>
      <c r="C64" s="229"/>
      <c r="D64" s="229"/>
      <c r="E64" s="229"/>
      <c r="F64" s="229"/>
      <c r="G64" s="229"/>
      <c r="H64" s="229"/>
      <c r="I64" s="229"/>
      <c r="J64" s="229"/>
      <c r="K64" s="229"/>
      <c r="L64" s="229"/>
      <c r="M64" s="229"/>
      <c r="N64" s="229"/>
      <c r="O64" s="229"/>
      <c r="P64" s="229"/>
    </row>
    <row r="65" spans="1:16" x14ac:dyDescent="0.2">
      <c r="A65" s="229"/>
      <c r="B65" s="229"/>
      <c r="C65" s="229"/>
      <c r="D65" s="229"/>
      <c r="E65" s="229"/>
      <c r="F65" s="229"/>
      <c r="G65" s="229"/>
      <c r="H65" s="229"/>
      <c r="I65" s="229"/>
      <c r="J65" s="229"/>
      <c r="K65" s="229"/>
      <c r="L65" s="229"/>
      <c r="M65" s="229"/>
      <c r="N65" s="229"/>
      <c r="O65" s="229"/>
      <c r="P65" s="229"/>
    </row>
    <row r="66" spans="1:16" x14ac:dyDescent="0.2">
      <c r="A66" s="229"/>
      <c r="B66" s="229"/>
      <c r="C66" s="229"/>
      <c r="D66" s="229"/>
      <c r="E66" s="229"/>
      <c r="F66" s="229"/>
      <c r="G66" s="229"/>
      <c r="H66" s="229"/>
      <c r="I66" s="229"/>
      <c r="J66" s="229"/>
      <c r="K66" s="229"/>
      <c r="L66" s="229"/>
      <c r="M66" s="229"/>
      <c r="N66" s="229"/>
      <c r="O66" s="229"/>
      <c r="P66" s="229"/>
    </row>
    <row r="67" spans="1:16" x14ac:dyDescent="0.2">
      <c r="A67" s="229"/>
      <c r="B67" s="229"/>
      <c r="C67" s="229"/>
      <c r="D67" s="229"/>
      <c r="E67" s="229"/>
      <c r="F67" s="229"/>
      <c r="G67" s="229"/>
      <c r="H67" s="229"/>
      <c r="I67" s="229"/>
      <c r="J67" s="229"/>
      <c r="K67" s="229"/>
      <c r="L67" s="229"/>
      <c r="M67" s="229"/>
      <c r="N67" s="229"/>
      <c r="O67" s="229"/>
      <c r="P67" s="229"/>
    </row>
    <row r="68" spans="1:16" x14ac:dyDescent="0.2">
      <c r="A68" s="229"/>
      <c r="B68" s="229"/>
      <c r="C68" s="229"/>
      <c r="D68" s="229"/>
      <c r="E68" s="229"/>
      <c r="F68" s="229"/>
      <c r="G68" s="229"/>
      <c r="H68" s="229"/>
      <c r="I68" s="229"/>
      <c r="J68" s="229"/>
      <c r="K68" s="229"/>
      <c r="L68" s="229"/>
      <c r="M68" s="229"/>
      <c r="N68" s="229"/>
      <c r="O68" s="229"/>
      <c r="P68" s="229"/>
    </row>
    <row r="69" spans="1:16" x14ac:dyDescent="0.2">
      <c r="A69" s="229"/>
      <c r="B69" s="229"/>
      <c r="C69" s="229"/>
      <c r="D69" s="229"/>
      <c r="E69" s="229"/>
      <c r="F69" s="229"/>
      <c r="G69" s="229"/>
      <c r="H69" s="229"/>
      <c r="I69" s="229"/>
      <c r="J69" s="229"/>
      <c r="K69" s="229"/>
      <c r="L69" s="229"/>
      <c r="M69" s="229"/>
      <c r="N69" s="229"/>
      <c r="O69" s="229"/>
      <c r="P69" s="229"/>
    </row>
    <row r="70" spans="1:16" x14ac:dyDescent="0.2">
      <c r="A70" s="229"/>
      <c r="B70" s="229"/>
      <c r="C70" s="229"/>
      <c r="D70" s="229"/>
      <c r="E70" s="229"/>
      <c r="F70" s="229"/>
      <c r="G70" s="229"/>
      <c r="H70" s="229"/>
      <c r="I70" s="229"/>
      <c r="J70" s="229"/>
      <c r="K70" s="229"/>
      <c r="L70" s="229"/>
      <c r="M70" s="229"/>
      <c r="N70" s="229"/>
      <c r="O70" s="229"/>
      <c r="P70" s="229"/>
    </row>
    <row r="71" spans="1:16" x14ac:dyDescent="0.2">
      <c r="A71" s="229"/>
      <c r="B71" s="229"/>
      <c r="C71" s="229"/>
      <c r="D71" s="229"/>
      <c r="E71" s="229"/>
      <c r="F71" s="229"/>
      <c r="G71" s="229"/>
      <c r="H71" s="229"/>
      <c r="I71" s="229"/>
      <c r="J71" s="229"/>
      <c r="K71" s="229"/>
      <c r="L71" s="229"/>
      <c r="M71" s="229"/>
      <c r="N71" s="229"/>
      <c r="O71" s="229"/>
      <c r="P71" s="229"/>
    </row>
    <row r="72" spans="1:16" x14ac:dyDescent="0.2">
      <c r="A72" s="229"/>
      <c r="B72" s="229"/>
      <c r="C72" s="229"/>
      <c r="D72" s="229"/>
      <c r="E72" s="229"/>
      <c r="F72" s="229"/>
      <c r="G72" s="229"/>
      <c r="H72" s="229"/>
      <c r="I72" s="229"/>
      <c r="J72" s="229"/>
      <c r="K72" s="229"/>
      <c r="L72" s="229"/>
      <c r="M72" s="229"/>
      <c r="N72" s="229"/>
      <c r="O72" s="229"/>
      <c r="P72" s="229"/>
    </row>
    <row r="73" spans="1:16" x14ac:dyDescent="0.2">
      <c r="A73" s="229"/>
      <c r="B73" s="229"/>
      <c r="C73" s="229"/>
      <c r="D73" s="229"/>
      <c r="E73" s="229"/>
      <c r="F73" s="229"/>
      <c r="G73" s="229"/>
      <c r="H73" s="229"/>
      <c r="I73" s="229"/>
      <c r="J73" s="229"/>
      <c r="K73" s="229"/>
      <c r="L73" s="229"/>
      <c r="M73" s="229"/>
      <c r="N73" s="229"/>
      <c r="O73" s="229"/>
      <c r="P73" s="229"/>
    </row>
    <row r="74" spans="1:16" x14ac:dyDescent="0.2">
      <c r="A74" s="229"/>
      <c r="B74" s="229"/>
      <c r="C74" s="229"/>
      <c r="D74" s="229"/>
      <c r="E74" s="229"/>
      <c r="F74" s="229"/>
      <c r="G74" s="229"/>
      <c r="H74" s="229"/>
      <c r="I74" s="229"/>
      <c r="J74" s="229"/>
      <c r="K74" s="229"/>
      <c r="L74" s="229"/>
      <c r="M74" s="229"/>
      <c r="N74" s="229"/>
      <c r="O74" s="229"/>
      <c r="P74" s="229"/>
    </row>
    <row r="75" spans="1:16" x14ac:dyDescent="0.2">
      <c r="A75" s="229"/>
      <c r="B75" s="229"/>
      <c r="C75" s="229"/>
      <c r="D75" s="229"/>
      <c r="E75" s="229"/>
      <c r="F75" s="229"/>
      <c r="G75" s="229"/>
      <c r="H75" s="229"/>
      <c r="I75" s="229"/>
      <c r="J75" s="229"/>
      <c r="K75" s="229"/>
      <c r="L75" s="229"/>
      <c r="M75" s="229"/>
      <c r="N75" s="229"/>
      <c r="O75" s="229"/>
      <c r="P75" s="229"/>
    </row>
    <row r="76" spans="1:16" x14ac:dyDescent="0.2">
      <c r="A76" s="229"/>
      <c r="B76" s="229"/>
      <c r="C76" s="229"/>
      <c r="D76" s="229"/>
      <c r="E76" s="229"/>
      <c r="F76" s="229"/>
      <c r="G76" s="229"/>
      <c r="H76" s="229"/>
      <c r="I76" s="229"/>
      <c r="J76" s="229"/>
      <c r="K76" s="229"/>
      <c r="L76" s="229"/>
      <c r="M76" s="229"/>
      <c r="N76" s="229"/>
      <c r="O76" s="229"/>
      <c r="P76" s="229"/>
    </row>
    <row r="77" spans="1:16" x14ac:dyDescent="0.2">
      <c r="A77" s="229"/>
      <c r="B77" s="229"/>
      <c r="C77" s="229"/>
      <c r="D77" s="229"/>
      <c r="E77" s="229"/>
      <c r="F77" s="229"/>
      <c r="G77" s="229"/>
      <c r="H77" s="229"/>
      <c r="I77" s="229"/>
      <c r="J77" s="229"/>
      <c r="K77" s="229"/>
      <c r="L77" s="229"/>
      <c r="M77" s="229"/>
      <c r="N77" s="229"/>
      <c r="O77" s="229"/>
      <c r="P77" s="229"/>
    </row>
  </sheetData>
  <mergeCells count="2">
    <mergeCell ref="D7:O7"/>
    <mergeCell ref="A62:P77"/>
  </mergeCells>
  <pageMargins left="0.7" right="0.7" top="0.75" bottom="0.75" header="0.3" footer="0.3"/>
  <pageSetup scale="53" orientation="landscape" r:id="rId1"/>
  <headerFooter>
    <oddFooter>&amp;C&amp;"Arial,Regular"&amp;10RMP__(THS-2)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15"/>
  <sheetViews>
    <sheetView zoomScaleNormal="100" workbookViewId="0">
      <selection activeCell="B28" sqref="B28"/>
    </sheetView>
  </sheetViews>
  <sheetFormatPr defaultColWidth="12.5703125" defaultRowHeight="12.75" x14ac:dyDescent="0.2"/>
  <cols>
    <col min="1" max="1" width="5.5703125" style="92" customWidth="1"/>
    <col min="2" max="2" width="52.42578125" style="92" customWidth="1"/>
    <col min="3" max="3" width="8.140625" style="92" customWidth="1"/>
    <col min="4" max="4" width="17.28515625" style="92" bestFit="1" customWidth="1"/>
    <col min="5" max="13" width="13.140625" style="92" customWidth="1"/>
    <col min="14" max="16384" width="12.5703125" style="92"/>
  </cols>
  <sheetData>
    <row r="1" spans="1:13" x14ac:dyDescent="0.2">
      <c r="A1" s="91" t="s">
        <v>8</v>
      </c>
    </row>
    <row r="2" spans="1:13" x14ac:dyDescent="0.2">
      <c r="A2" s="91" t="s">
        <v>9</v>
      </c>
    </row>
    <row r="3" spans="1:13" x14ac:dyDescent="0.2">
      <c r="A3" s="93" t="s">
        <v>115</v>
      </c>
    </row>
    <row r="4" spans="1:13" x14ac:dyDescent="0.2">
      <c r="A4" s="94"/>
    </row>
    <row r="5" spans="1:13" x14ac:dyDescent="0.2">
      <c r="A5" s="95" t="str">
        <f>"Calculation of Utah Allocated REC Actuals for CY "&amp;YEAR(A3)-1</f>
        <v>Calculation of Utah Allocated REC Actuals for CY 2019</v>
      </c>
      <c r="E5" s="96"/>
    </row>
    <row r="6" spans="1:13" x14ac:dyDescent="0.2">
      <c r="B6" s="97"/>
      <c r="C6" s="97"/>
      <c r="D6" s="97"/>
      <c r="E6" s="98"/>
      <c r="F6" s="97"/>
      <c r="G6" s="97"/>
      <c r="H6" s="97"/>
      <c r="I6" s="97"/>
      <c r="J6" s="99"/>
      <c r="K6" s="99"/>
      <c r="L6" s="99"/>
    </row>
    <row r="7" spans="1:13" x14ac:dyDescent="0.2">
      <c r="A7" s="97"/>
      <c r="B7" s="97"/>
      <c r="C7" s="97"/>
      <c r="D7" s="97"/>
      <c r="E7" s="97"/>
      <c r="F7" s="97"/>
      <c r="G7" s="100"/>
      <c r="H7" s="97"/>
      <c r="I7" s="97"/>
      <c r="J7" s="97"/>
      <c r="K7" s="97"/>
      <c r="L7" s="97"/>
    </row>
    <row r="8" spans="1:13" x14ac:dyDescent="0.2">
      <c r="A8" s="101" t="str">
        <f>"Jan - Dec "&amp;YEAR(A3)-1&amp;" - Actual REC Revenues - CA/OR/WA Eligible Resources(1)"</f>
        <v>Jan - Dec 2019 - Actual REC Revenues - CA/OR/WA Eligible Resources(1)</v>
      </c>
      <c r="B8" s="97"/>
      <c r="C8" s="97"/>
      <c r="D8" s="102">
        <v>651580</v>
      </c>
      <c r="E8" s="103"/>
      <c r="H8" s="97"/>
      <c r="I8" s="97"/>
      <c r="J8" s="97"/>
      <c r="K8" s="97"/>
      <c r="L8" s="97"/>
    </row>
    <row r="9" spans="1:13" x14ac:dyDescent="0.2">
      <c r="A9" s="104"/>
      <c r="B9" s="97"/>
      <c r="C9" s="97"/>
      <c r="D9" s="105"/>
      <c r="E9" s="97"/>
      <c r="G9" s="106"/>
      <c r="H9" s="106"/>
      <c r="I9" s="106"/>
      <c r="J9" s="106"/>
      <c r="K9" s="107"/>
      <c r="L9" s="108"/>
    </row>
    <row r="10" spans="1:13" x14ac:dyDescent="0.2">
      <c r="A10" s="101" t="str">
        <f>"Jan - Dec "&amp;YEAR(A3)-1&amp;" - Actual REC Revenues - CA/OR Eligible Resources(1)"</f>
        <v>Jan - Dec 2019 - Actual REC Revenues - CA/OR Eligible Resources(1)</v>
      </c>
      <c r="B10" s="97"/>
      <c r="C10" s="97"/>
      <c r="D10" s="105">
        <v>3941932.9999999995</v>
      </c>
      <c r="E10" s="97"/>
      <c r="G10" s="106"/>
      <c r="H10" s="106"/>
      <c r="I10" s="109"/>
      <c r="J10" s="106"/>
      <c r="K10" s="107"/>
      <c r="L10" s="108"/>
    </row>
    <row r="11" spans="1:13" x14ac:dyDescent="0.2">
      <c r="A11" s="104"/>
      <c r="B11" s="97"/>
      <c r="C11" s="97"/>
      <c r="D11" s="110"/>
      <c r="E11" s="97"/>
      <c r="G11" s="106"/>
      <c r="H11" s="106"/>
      <c r="I11" s="106"/>
      <c r="J11" s="106"/>
      <c r="K11" s="107"/>
      <c r="L11" s="108"/>
    </row>
    <row r="12" spans="1:13" x14ac:dyDescent="0.2">
      <c r="A12" s="101" t="str">
        <f>"Jan - Dec "&amp;YEAR(A3)-1&amp;" -  Actual REC Revenues  - CA Eligible Resources(1)"</f>
        <v>Jan - Dec 2019 -  Actual REC Revenues  - CA Eligible Resources(1)</v>
      </c>
      <c r="B12" s="91"/>
      <c r="C12" s="97"/>
      <c r="D12" s="105">
        <v>252183.7</v>
      </c>
      <c r="E12" s="111"/>
      <c r="F12" s="111"/>
      <c r="G12" s="106"/>
      <c r="H12" s="112"/>
      <c r="I12" s="106"/>
      <c r="J12" s="106"/>
      <c r="K12" s="113"/>
      <c r="L12" s="108"/>
    </row>
    <row r="13" spans="1:13" x14ac:dyDescent="0.2">
      <c r="A13" s="94"/>
      <c r="D13" s="114"/>
      <c r="E13" s="115"/>
    </row>
    <row r="14" spans="1:13" x14ac:dyDescent="0.2">
      <c r="A14" s="101" t="str">
        <f>"Total Jan - Dec "&amp;YEAR(A3)-1&amp;" REC Revenues"</f>
        <v>Total Jan - Dec 2019 REC Revenues</v>
      </c>
      <c r="D14" s="116">
        <f>SUM(D8:D12)</f>
        <v>4845696.7</v>
      </c>
      <c r="E14" s="115"/>
    </row>
    <row r="15" spans="1:13" x14ac:dyDescent="0.2">
      <c r="A15" s="97"/>
      <c r="B15" s="91"/>
      <c r="C15" s="97"/>
      <c r="D15" s="97"/>
      <c r="F15" s="117"/>
      <c r="G15" s="97"/>
      <c r="H15" s="97"/>
      <c r="I15" s="97"/>
      <c r="J15" s="97"/>
      <c r="K15" s="113"/>
      <c r="L15" s="108"/>
    </row>
    <row r="16" spans="1:13" x14ac:dyDescent="0.2">
      <c r="A16" s="91" t="str">
        <f>"Reallocate Jan - Dec "&amp;YEAR(A3)-1&amp;" REC Revenues for Renewable Portfolio Standards"</f>
        <v>Reallocate Jan - Dec 2019 REC Revenues for Renewable Portfolio Standards</v>
      </c>
      <c r="B16" s="97"/>
      <c r="C16" s="97"/>
      <c r="D16" s="97"/>
      <c r="E16" s="97"/>
      <c r="F16" s="97"/>
      <c r="G16" s="97"/>
      <c r="H16" s="97"/>
      <c r="I16" s="97"/>
      <c r="J16" s="99" t="s">
        <v>73</v>
      </c>
      <c r="K16" s="97"/>
      <c r="L16" s="97"/>
      <c r="M16" s="118"/>
    </row>
    <row r="17" spans="1:14" ht="15.75" customHeight="1" x14ac:dyDescent="0.2">
      <c r="A17" s="97"/>
      <c r="B17" s="97"/>
      <c r="C17" s="119"/>
      <c r="D17" s="119" t="s">
        <v>74</v>
      </c>
      <c r="E17" s="119" t="s">
        <v>30</v>
      </c>
      <c r="F17" s="119" t="s">
        <v>75</v>
      </c>
      <c r="G17" s="119" t="s">
        <v>76</v>
      </c>
      <c r="H17" s="120" t="s">
        <v>77</v>
      </c>
      <c r="I17" s="119" t="s">
        <v>78</v>
      </c>
      <c r="J17" s="119" t="s">
        <v>79</v>
      </c>
      <c r="K17" s="119" t="s">
        <v>80</v>
      </c>
      <c r="L17" s="119" t="s">
        <v>81</v>
      </c>
      <c r="M17" s="119" t="s">
        <v>82</v>
      </c>
    </row>
    <row r="18" spans="1:14" x14ac:dyDescent="0.2">
      <c r="A18" s="97"/>
      <c r="B18" s="121" t="str">
        <f>"CY "&amp;YEAR(A3)-1&amp;" Actual SG Factor - See Page 2.2"</f>
        <v>CY 2019 Actual SG Factor - See Page 2.2</v>
      </c>
      <c r="C18" s="97"/>
      <c r="D18" s="122" t="s">
        <v>83</v>
      </c>
      <c r="E18" s="123">
        <f>SUM(F18:L18)</f>
        <v>0.99999999999999989</v>
      </c>
      <c r="F18" s="99">
        <f>'Page 2.2'!E43</f>
        <v>1.4161622272848399E-2</v>
      </c>
      <c r="G18" s="99">
        <f>'Page 2.2'!F43</f>
        <v>0.25836719030238653</v>
      </c>
      <c r="H18" s="99">
        <f>'Page 2.2'!G43</f>
        <v>8.1633476694195628E-2</v>
      </c>
      <c r="I18" s="99">
        <f>'Page 2.2'!J43</f>
        <v>0.15021842238574062</v>
      </c>
      <c r="J18" s="99">
        <f>'Page 2.2'!H43</f>
        <v>0.43457769882932634</v>
      </c>
      <c r="K18" s="99">
        <f>'Page 2.2'!I43</f>
        <v>6.0689575142887808E-2</v>
      </c>
      <c r="L18" s="99">
        <f>'Page 2.2'!K43</f>
        <v>3.520143726146711E-4</v>
      </c>
      <c r="M18" s="124"/>
      <c r="N18" s="114"/>
    </row>
    <row r="19" spans="1:14" ht="13.5" thickBot="1" x14ac:dyDescent="0.25">
      <c r="A19" s="97"/>
      <c r="B19" s="97"/>
      <c r="C19" s="97"/>
      <c r="D19" s="122"/>
      <c r="E19" s="123"/>
      <c r="F19" s="99"/>
      <c r="G19" s="99"/>
      <c r="H19" s="99"/>
      <c r="I19" s="99"/>
      <c r="J19" s="99"/>
      <c r="K19" s="99"/>
      <c r="L19" s="99"/>
    </row>
    <row r="20" spans="1:14" x14ac:dyDescent="0.2">
      <c r="A20" s="91" t="str">
        <f>"Actual Jan - Dec "&amp;YEAR(A3)-1&amp;" REC Rev - Eligible for CA/OR/WA RPS"</f>
        <v>Actual Jan - Dec 2019 REC Rev - Eligible for CA/OR/WA RPS</v>
      </c>
      <c r="B20" s="97"/>
      <c r="C20" s="125"/>
      <c r="D20" s="125" t="s">
        <v>83</v>
      </c>
      <c r="E20" s="126">
        <f>D8</f>
        <v>651580</v>
      </c>
      <c r="F20" s="127">
        <f>$E$20*F18</f>
        <v>9227.4298405425598</v>
      </c>
      <c r="G20" s="127">
        <f t="shared" ref="G20:L20" si="0">$E$20*G18</f>
        <v>168346.89385722901</v>
      </c>
      <c r="H20" s="128">
        <f t="shared" si="0"/>
        <v>53190.740744403985</v>
      </c>
      <c r="I20" s="129">
        <f t="shared" si="0"/>
        <v>97879.319658100881</v>
      </c>
      <c r="J20" s="129">
        <f t="shared" si="0"/>
        <v>283162.13700321247</v>
      </c>
      <c r="K20" s="129">
        <f t="shared" si="0"/>
        <v>39544.113371602842</v>
      </c>
      <c r="L20" s="130">
        <f t="shared" si="0"/>
        <v>229.36552490826739</v>
      </c>
      <c r="M20" s="114"/>
    </row>
    <row r="21" spans="1:14" x14ac:dyDescent="0.2">
      <c r="A21" s="97"/>
      <c r="B21" s="97"/>
      <c r="C21" s="125"/>
      <c r="D21" s="125"/>
      <c r="E21" s="131"/>
      <c r="F21" s="132"/>
      <c r="G21" s="132"/>
      <c r="H21" s="133"/>
      <c r="I21" s="132"/>
      <c r="J21" s="132"/>
      <c r="K21" s="132"/>
      <c r="L21" s="134"/>
      <c r="M21" s="114"/>
    </row>
    <row r="22" spans="1:14" x14ac:dyDescent="0.2">
      <c r="A22" s="97"/>
      <c r="B22" s="135" t="s">
        <v>84</v>
      </c>
      <c r="C22" s="136"/>
      <c r="D22" s="125" t="s">
        <v>83</v>
      </c>
      <c r="E22" s="137">
        <f>(E20/(1-SUM($F$18:$H$18)))-E20</f>
        <v>357311.22634684003</v>
      </c>
      <c r="F22" s="132">
        <f t="shared" ref="F22:L22" si="1">$E$22*F18</f>
        <v>5060.1066213721851</v>
      </c>
      <c r="G22" s="132">
        <f t="shared" si="1"/>
        <v>92317.497614733133</v>
      </c>
      <c r="H22" s="133">
        <f t="shared" si="1"/>
        <v>29168.557668559224</v>
      </c>
      <c r="I22" s="132">
        <f t="shared" si="1"/>
        <v>53674.728722536587</v>
      </c>
      <c r="J22" s="132">
        <f t="shared" si="1"/>
        <v>155279.49051169431</v>
      </c>
      <c r="K22" s="132">
        <f t="shared" si="1"/>
        <v>21685.066520773944</v>
      </c>
      <c r="L22" s="134">
        <f t="shared" si="1"/>
        <v>125.77868717066163</v>
      </c>
      <c r="M22" s="114"/>
    </row>
    <row r="23" spans="1:14" x14ac:dyDescent="0.2">
      <c r="A23" s="97"/>
      <c r="B23" s="135" t="s">
        <v>84</v>
      </c>
      <c r="C23" s="136"/>
      <c r="D23" s="136" t="s">
        <v>85</v>
      </c>
      <c r="E23" s="138">
        <f>-E22</f>
        <v>-357311.22634684003</v>
      </c>
      <c r="F23" s="139">
        <f>-SUM(F20:F22)</f>
        <v>-14287.536461914744</v>
      </c>
      <c r="G23" s="139">
        <f>-SUM(G20:G22)</f>
        <v>-260664.39147196215</v>
      </c>
      <c r="H23" s="140">
        <f>-SUM(H20:H22)</f>
        <v>-82359.29841296321</v>
      </c>
      <c r="I23" s="141"/>
      <c r="J23" s="141"/>
      <c r="K23" s="141"/>
      <c r="L23" s="142"/>
      <c r="M23" s="114"/>
    </row>
    <row r="24" spans="1:14" x14ac:dyDescent="0.2">
      <c r="A24" s="97"/>
      <c r="B24" s="135"/>
      <c r="C24" s="136"/>
      <c r="D24" s="136"/>
      <c r="E24" s="131"/>
      <c r="F24" s="143"/>
      <c r="G24" s="143"/>
      <c r="H24" s="144"/>
      <c r="I24" s="107"/>
      <c r="J24" s="107"/>
      <c r="K24" s="107"/>
      <c r="L24" s="145"/>
      <c r="M24" s="114"/>
    </row>
    <row r="25" spans="1:14" ht="13.5" thickBot="1" x14ac:dyDescent="0.25">
      <c r="A25" s="146" t="str">
        <f>"Actual Jan - Dec "&amp;YEAR(A3)-1&amp;" REC Revenues - Reallocated totals"</f>
        <v>Actual Jan - Dec 2019 REC Revenues - Reallocated totals</v>
      </c>
      <c r="B25" s="97"/>
      <c r="C25" s="106"/>
      <c r="D25" s="106"/>
      <c r="E25" s="147">
        <f t="shared" ref="E25:L25" si="2">SUM(E20:E23)</f>
        <v>651580</v>
      </c>
      <c r="F25" s="148">
        <f t="shared" si="2"/>
        <v>0</v>
      </c>
      <c r="G25" s="148">
        <f t="shared" si="2"/>
        <v>0</v>
      </c>
      <c r="H25" s="149">
        <f t="shared" si="2"/>
        <v>0</v>
      </c>
      <c r="I25" s="141">
        <f t="shared" si="2"/>
        <v>151554.04838063748</v>
      </c>
      <c r="J25" s="141">
        <f t="shared" si="2"/>
        <v>438441.62751490681</v>
      </c>
      <c r="K25" s="141">
        <f t="shared" si="2"/>
        <v>61229.179892376786</v>
      </c>
      <c r="L25" s="142">
        <f t="shared" si="2"/>
        <v>355.144212078929</v>
      </c>
      <c r="M25" s="114"/>
    </row>
    <row r="26" spans="1:14" ht="13.5" thickBot="1" x14ac:dyDescent="0.25">
      <c r="A26" s="97"/>
      <c r="B26" s="97"/>
      <c r="C26" s="97"/>
      <c r="D26" s="97"/>
      <c r="E26" s="150"/>
      <c r="F26" s="150"/>
      <c r="G26" s="150"/>
      <c r="H26" s="107"/>
      <c r="I26" s="107"/>
      <c r="J26" s="107"/>
      <c r="K26" s="107"/>
      <c r="L26" s="107"/>
      <c r="M26" s="114"/>
    </row>
    <row r="27" spans="1:14" x14ac:dyDescent="0.2">
      <c r="A27" s="91" t="str">
        <f>"Actual Jan - Dec "&amp;YEAR(A3)-1&amp;" REC Rev - Eligible for CA/OR RPS"</f>
        <v>Actual Jan - Dec 2019 REC Rev - Eligible for CA/OR RPS</v>
      </c>
      <c r="B27" s="97"/>
      <c r="C27" s="125"/>
      <c r="D27" s="125" t="s">
        <v>83</v>
      </c>
      <c r="E27" s="126">
        <f>D10</f>
        <v>3941932.9999999995</v>
      </c>
      <c r="F27" s="127">
        <f t="shared" ref="F27:L27" si="3">$E$27*F18</f>
        <v>55824.166170876102</v>
      </c>
      <c r="G27" s="128">
        <f t="shared" si="3"/>
        <v>1018466.1535702574</v>
      </c>
      <c r="H27" s="129">
        <f t="shared" si="3"/>
        <v>321793.69568558061</v>
      </c>
      <c r="I27" s="129">
        <f t="shared" si="3"/>
        <v>592150.95641028963</v>
      </c>
      <c r="J27" s="129">
        <f t="shared" si="3"/>
        <v>1713076.1720793827</v>
      </c>
      <c r="K27" s="129">
        <f t="shared" si="3"/>
        <v>239234.23901172914</v>
      </c>
      <c r="L27" s="130">
        <f t="shared" si="3"/>
        <v>1387.6170718840681</v>
      </c>
      <c r="M27" s="114"/>
    </row>
    <row r="28" spans="1:14" x14ac:dyDescent="0.2">
      <c r="A28" s="91"/>
      <c r="B28" s="97"/>
      <c r="C28" s="125"/>
      <c r="D28" s="125"/>
      <c r="E28" s="131"/>
      <c r="F28" s="132"/>
      <c r="G28" s="133"/>
      <c r="H28" s="132"/>
      <c r="I28" s="132"/>
      <c r="J28" s="132"/>
      <c r="K28" s="132"/>
      <c r="L28" s="134"/>
      <c r="M28" s="114"/>
    </row>
    <row r="29" spans="1:14" x14ac:dyDescent="0.2">
      <c r="A29" s="91"/>
      <c r="B29" s="135" t="s">
        <v>84</v>
      </c>
      <c r="C29" s="136"/>
      <c r="D29" s="125" t="s">
        <v>83</v>
      </c>
      <c r="E29" s="137">
        <f>(E27/(1-SUM(F18:G18)))-E27</f>
        <v>1476746.2111373818</v>
      </c>
      <c r="F29" s="132">
        <f t="shared" ref="F29:L29" si="4">$E$29*F18</f>
        <v>20913.122034987631</v>
      </c>
      <c r="G29" s="133">
        <f t="shared" si="4"/>
        <v>381542.76936126023</v>
      </c>
      <c r="H29" s="132">
        <f t="shared" si="4"/>
        <v>120551.92741012515</v>
      </c>
      <c r="I29" s="132">
        <f t="shared" si="4"/>
        <v>221834.48610117732</v>
      </c>
      <c r="J29" s="132">
        <f t="shared" si="4"/>
        <v>641760.97019100992</v>
      </c>
      <c r="K29" s="132">
        <f t="shared" si="4"/>
        <v>89623.100147796998</v>
      </c>
      <c r="L29" s="134">
        <f t="shared" si="4"/>
        <v>519.83589102461815</v>
      </c>
      <c r="M29" s="114"/>
    </row>
    <row r="30" spans="1:14" x14ac:dyDescent="0.2">
      <c r="A30" s="91"/>
      <c r="B30" s="135" t="s">
        <v>84</v>
      </c>
      <c r="C30" s="136"/>
      <c r="D30" s="136" t="s">
        <v>85</v>
      </c>
      <c r="E30" s="138">
        <f>-E29</f>
        <v>-1476746.2111373818</v>
      </c>
      <c r="F30" s="139">
        <f>-SUM(F27:F29)</f>
        <v>-76737.288205863733</v>
      </c>
      <c r="G30" s="140">
        <f>-SUM(G27:G29)</f>
        <v>-1400008.9229315175</v>
      </c>
      <c r="H30" s="141"/>
      <c r="I30" s="141"/>
      <c r="J30" s="141"/>
      <c r="K30" s="141"/>
      <c r="L30" s="142"/>
      <c r="M30" s="114"/>
    </row>
    <row r="31" spans="1:14" x14ac:dyDescent="0.2">
      <c r="A31" s="91"/>
      <c r="B31" s="97"/>
      <c r="C31" s="125"/>
      <c r="D31" s="125"/>
      <c r="E31" s="131"/>
      <c r="F31" s="143"/>
      <c r="G31" s="144"/>
      <c r="H31" s="132"/>
      <c r="I31" s="107"/>
      <c r="J31" s="107"/>
      <c r="K31" s="107"/>
      <c r="L31" s="145"/>
      <c r="M31" s="114"/>
    </row>
    <row r="32" spans="1:14" ht="13.5" thickBot="1" x14ac:dyDescent="0.25">
      <c r="A32" s="146" t="str">
        <f>"Actual Jan - Dec "&amp;YEAR(A3)-1&amp;" REC Revenues - Reallocated totals"</f>
        <v>Actual Jan - Dec 2019 REC Revenues - Reallocated totals</v>
      </c>
      <c r="B32" s="97"/>
      <c r="C32" s="97"/>
      <c r="D32" s="97"/>
      <c r="E32" s="147">
        <f t="shared" ref="E32:L32" si="5">SUM(E27:E30)</f>
        <v>3941932.9999999995</v>
      </c>
      <c r="F32" s="148">
        <f>SUM(F27:F30)</f>
        <v>0</v>
      </c>
      <c r="G32" s="149">
        <f t="shared" si="5"/>
        <v>0</v>
      </c>
      <c r="H32" s="141">
        <f t="shared" si="5"/>
        <v>442345.62309570576</v>
      </c>
      <c r="I32" s="141">
        <f t="shared" si="5"/>
        <v>813985.44251146691</v>
      </c>
      <c r="J32" s="141">
        <f t="shared" si="5"/>
        <v>2354837.1422703927</v>
      </c>
      <c r="K32" s="141">
        <f t="shared" si="5"/>
        <v>328857.33915952616</v>
      </c>
      <c r="L32" s="142">
        <f t="shared" si="5"/>
        <v>1907.4529629086862</v>
      </c>
      <c r="M32" s="114"/>
    </row>
    <row r="33" spans="1:13" ht="13.5" thickBot="1" x14ac:dyDescent="0.25">
      <c r="A33" s="97"/>
      <c r="B33" s="97"/>
      <c r="C33" s="97"/>
      <c r="D33" s="97"/>
      <c r="E33" s="150"/>
      <c r="F33" s="150"/>
      <c r="G33" s="150"/>
      <c r="H33" s="107"/>
      <c r="I33" s="107"/>
      <c r="J33" s="107"/>
      <c r="K33" s="107"/>
      <c r="L33" s="107"/>
      <c r="M33" s="143"/>
    </row>
    <row r="34" spans="1:13" x14ac:dyDescent="0.2">
      <c r="A34" s="91" t="str">
        <f>"Actual Jan - Dec "&amp;YEAR(A3)-1&amp;" REC Rev - Eligible for CA RPS Only"</f>
        <v>Actual Jan - Dec 2019 REC Rev - Eligible for CA RPS Only</v>
      </c>
      <c r="B34" s="97"/>
      <c r="C34" s="125"/>
      <c r="D34" s="125" t="s">
        <v>83</v>
      </c>
      <c r="E34" s="151">
        <f>D12</f>
        <v>252183.7</v>
      </c>
      <c r="F34" s="152">
        <f t="shared" ref="F34:L34" si="6">$E$34*F18</f>
        <v>3571.3303027693191</v>
      </c>
      <c r="G34" s="129">
        <f t="shared" si="6"/>
        <v>65155.994009059956</v>
      </c>
      <c r="H34" s="129">
        <f t="shared" si="6"/>
        <v>20586.632196606024</v>
      </c>
      <c r="I34" s="129">
        <f t="shared" si="6"/>
        <v>37882.637565398902</v>
      </c>
      <c r="J34" s="129">
        <f t="shared" si="6"/>
        <v>109593.41202826519</v>
      </c>
      <c r="K34" s="129">
        <f t="shared" si="6"/>
        <v>15304.921610961477</v>
      </c>
      <c r="L34" s="129">
        <f t="shared" si="6"/>
        <v>88.77228693914644</v>
      </c>
      <c r="M34" s="153">
        <f>$E$32*M18</f>
        <v>0</v>
      </c>
    </row>
    <row r="35" spans="1:13" x14ac:dyDescent="0.2">
      <c r="A35" s="97"/>
      <c r="B35" s="97"/>
      <c r="C35" s="125"/>
      <c r="D35" s="125"/>
      <c r="E35" s="131"/>
      <c r="F35" s="154"/>
      <c r="G35" s="155"/>
      <c r="H35" s="155"/>
      <c r="I35" s="155"/>
      <c r="J35" s="155"/>
      <c r="K35" s="155"/>
      <c r="L35" s="155"/>
      <c r="M35" s="156"/>
    </row>
    <row r="36" spans="1:13" x14ac:dyDescent="0.2">
      <c r="A36" s="97"/>
      <c r="B36" s="135" t="s">
        <v>84</v>
      </c>
      <c r="C36" s="136"/>
      <c r="D36" s="125" t="s">
        <v>83</v>
      </c>
      <c r="E36" s="157">
        <f>(E34/(1-$F$18))-E34</f>
        <v>3622.6326581067115</v>
      </c>
      <c r="F36" s="154">
        <f t="shared" ref="F36:L36" si="7">$E$36*F18</f>
        <v>51.302355337392001</v>
      </c>
      <c r="G36" s="155">
        <f t="shared" si="7"/>
        <v>935.96942137269707</v>
      </c>
      <c r="H36" s="155">
        <f t="shared" si="7"/>
        <v>295.7280986671862</v>
      </c>
      <c r="I36" s="155">
        <f t="shared" si="7"/>
        <v>544.1861627838523</v>
      </c>
      <c r="J36" s="155">
        <f t="shared" si="7"/>
        <v>1574.3153642639804</v>
      </c>
      <c r="K36" s="155">
        <f t="shared" si="7"/>
        <v>219.85603691924666</v>
      </c>
      <c r="L36" s="155">
        <f t="shared" si="7"/>
        <v>1.2752187623568523</v>
      </c>
      <c r="M36" s="156"/>
    </row>
    <row r="37" spans="1:13" x14ac:dyDescent="0.2">
      <c r="A37" s="97"/>
      <c r="B37" s="135" t="s">
        <v>84</v>
      </c>
      <c r="C37" s="136"/>
      <c r="D37" s="136" t="s">
        <v>85</v>
      </c>
      <c r="E37" s="158">
        <f>-E36</f>
        <v>-3622.6326581067115</v>
      </c>
      <c r="F37" s="159">
        <f>-SUM(F34:F36)</f>
        <v>-3622.632658106711</v>
      </c>
      <c r="G37" s="160">
        <v>-66091.963430432646</v>
      </c>
      <c r="H37" s="161"/>
      <c r="I37" s="161"/>
      <c r="J37" s="161"/>
      <c r="K37" s="161"/>
      <c r="L37" s="161"/>
      <c r="M37" s="162">
        <f>-G37</f>
        <v>66091.963430432646</v>
      </c>
    </row>
    <row r="38" spans="1:13" x14ac:dyDescent="0.2">
      <c r="A38" s="97"/>
      <c r="B38" s="135"/>
      <c r="C38" s="136"/>
      <c r="D38" s="136"/>
      <c r="E38" s="131"/>
      <c r="F38" s="144"/>
      <c r="G38" s="143"/>
      <c r="H38" s="163"/>
      <c r="I38" s="163"/>
      <c r="J38" s="163"/>
      <c r="K38" s="163"/>
      <c r="L38" s="163"/>
      <c r="M38" s="164"/>
    </row>
    <row r="39" spans="1:13" ht="13.5" thickBot="1" x14ac:dyDescent="0.25">
      <c r="A39" s="146" t="str">
        <f>"Actual Jan - Dec "&amp;YEAR(A3)-1&amp;" REC Revenues - Reallocated totals"</f>
        <v>Actual Jan - Dec 2019 REC Revenues - Reallocated totals</v>
      </c>
      <c r="B39" s="97"/>
      <c r="C39" s="97"/>
      <c r="D39" s="97"/>
      <c r="E39" s="165">
        <f t="shared" ref="E39:M39" si="8">SUM(E34:E37)</f>
        <v>252183.7</v>
      </c>
      <c r="F39" s="166">
        <f t="shared" si="8"/>
        <v>0</v>
      </c>
      <c r="G39" s="161">
        <f>SUM(G34:G37)</f>
        <v>0</v>
      </c>
      <c r="H39" s="161">
        <f t="shared" si="8"/>
        <v>20882.360295273211</v>
      </c>
      <c r="I39" s="161">
        <f t="shared" si="8"/>
        <v>38426.823728182753</v>
      </c>
      <c r="J39" s="161">
        <f t="shared" si="8"/>
        <v>111167.72739252917</v>
      </c>
      <c r="K39" s="161">
        <f t="shared" si="8"/>
        <v>15524.777647880725</v>
      </c>
      <c r="L39" s="161">
        <f t="shared" si="8"/>
        <v>90.047505701503297</v>
      </c>
      <c r="M39" s="162">
        <f t="shared" si="8"/>
        <v>66091.963430432646</v>
      </c>
    </row>
    <row r="40" spans="1:13" x14ac:dyDescent="0.2">
      <c r="A40" s="97"/>
      <c r="B40" s="97" t="s">
        <v>73</v>
      </c>
      <c r="C40" s="97"/>
      <c r="D40" s="97"/>
      <c r="E40" s="167"/>
      <c r="F40" s="167"/>
      <c r="G40" s="167"/>
      <c r="H40" s="161"/>
      <c r="I40" s="161"/>
      <c r="J40" s="161"/>
      <c r="K40" s="161"/>
      <c r="L40" s="161"/>
      <c r="M40" s="168"/>
    </row>
    <row r="41" spans="1:13" x14ac:dyDescent="0.2">
      <c r="A41" s="91" t="str">
        <f>"Reallocated REC Revenues for Jan - Dec "&amp;YEAR(A3)-1</f>
        <v>Reallocated REC Revenues for Jan - Dec 2019</v>
      </c>
      <c r="D41" s="125" t="s">
        <v>83</v>
      </c>
      <c r="E41" s="169">
        <f>E29+E22+E36</f>
        <v>1837680.0701423287</v>
      </c>
      <c r="F41" s="170">
        <f>F29+F22+F36</f>
        <v>26024.53101169721</v>
      </c>
      <c r="G41" s="170">
        <f t="shared" ref="F41:M42" si="9">G29+G22+G36</f>
        <v>474796.23639736604</v>
      </c>
      <c r="H41" s="170">
        <f t="shared" si="9"/>
        <v>150016.21317735157</v>
      </c>
      <c r="I41" s="170">
        <f>I29+I22+I36</f>
        <v>276053.40098649776</v>
      </c>
      <c r="J41" s="170">
        <f t="shared" si="9"/>
        <v>798614.77606696822</v>
      </c>
      <c r="K41" s="170">
        <f t="shared" si="9"/>
        <v>111528.02270549019</v>
      </c>
      <c r="L41" s="170">
        <f t="shared" si="9"/>
        <v>646.88979695763669</v>
      </c>
      <c r="M41" s="171">
        <f>M29+M22+M36</f>
        <v>0</v>
      </c>
    </row>
    <row r="42" spans="1:13" x14ac:dyDescent="0.2">
      <c r="D42" s="136" t="s">
        <v>85</v>
      </c>
      <c r="E42" s="172">
        <f>E30+E23+E37</f>
        <v>-1837680.0701423287</v>
      </c>
      <c r="F42" s="173">
        <f t="shared" si="9"/>
        <v>-94647.457325885189</v>
      </c>
      <c r="G42" s="173">
        <f t="shared" si="9"/>
        <v>-1726765.2778339123</v>
      </c>
      <c r="H42" s="173">
        <f t="shared" si="9"/>
        <v>-82359.29841296321</v>
      </c>
      <c r="I42" s="173">
        <f t="shared" si="9"/>
        <v>0</v>
      </c>
      <c r="J42" s="173">
        <f t="shared" si="9"/>
        <v>0</v>
      </c>
      <c r="K42" s="173">
        <f t="shared" si="9"/>
        <v>0</v>
      </c>
      <c r="L42" s="173">
        <f t="shared" si="9"/>
        <v>0</v>
      </c>
      <c r="M42" s="174">
        <f t="shared" si="9"/>
        <v>66091.963430432646</v>
      </c>
    </row>
    <row r="43" spans="1:13" x14ac:dyDescent="0.2">
      <c r="E43" s="175"/>
      <c r="F43" s="176"/>
      <c r="G43" s="176"/>
      <c r="H43" s="176"/>
      <c r="I43" s="176"/>
      <c r="J43" s="176"/>
      <c r="K43" s="176"/>
      <c r="L43" s="176"/>
      <c r="M43" s="177"/>
    </row>
    <row r="44" spans="1:13" x14ac:dyDescent="0.2">
      <c r="A44" s="178" t="str">
        <f>"Actual Jan - Dec "&amp;YEAR(A3)-1&amp;" REC Revenues - Total Reallocated"</f>
        <v>Actual Jan - Dec 2019 REC Revenues - Total Reallocated</v>
      </c>
      <c r="B44" s="179"/>
      <c r="C44" s="179"/>
      <c r="D44" s="179"/>
      <c r="E44" s="180">
        <f>E32+E25+E39</f>
        <v>4845696.7</v>
      </c>
      <c r="F44" s="181">
        <f t="shared" ref="F44:M44" si="10">F32+F25+F39</f>
        <v>0</v>
      </c>
      <c r="G44" s="181">
        <f t="shared" si="10"/>
        <v>0</v>
      </c>
      <c r="H44" s="181">
        <f t="shared" si="10"/>
        <v>463227.98339097894</v>
      </c>
      <c r="I44" s="181">
        <f t="shared" si="10"/>
        <v>1003966.314620287</v>
      </c>
      <c r="J44" s="182">
        <f t="shared" si="10"/>
        <v>2904446.4971778286</v>
      </c>
      <c r="K44" s="183">
        <f t="shared" si="10"/>
        <v>405611.29669978365</v>
      </c>
      <c r="L44" s="181">
        <f t="shared" si="10"/>
        <v>2352.6446806891186</v>
      </c>
      <c r="M44" s="184">
        <f t="shared" si="10"/>
        <v>66091.963430432646</v>
      </c>
    </row>
    <row r="45" spans="1:13" x14ac:dyDescent="0.2">
      <c r="E45" s="185" t="s">
        <v>86</v>
      </c>
      <c r="F45" s="186"/>
      <c r="G45" s="186"/>
      <c r="H45" s="186"/>
      <c r="I45" s="187"/>
      <c r="J45" s="185" t="s">
        <v>87</v>
      </c>
      <c r="K45" s="188"/>
    </row>
    <row r="46" spans="1:13" x14ac:dyDescent="0.2">
      <c r="A46" s="114"/>
      <c r="H46" s="189"/>
      <c r="I46" s="190"/>
    </row>
    <row r="47" spans="1:13" x14ac:dyDescent="0.2">
      <c r="A47" s="187"/>
      <c r="B47" s="187"/>
      <c r="C47" s="187"/>
      <c r="D47" s="187"/>
      <c r="E47" s="191"/>
      <c r="F47" s="192" t="s">
        <v>12</v>
      </c>
    </row>
    <row r="48" spans="1:13" x14ac:dyDescent="0.2">
      <c r="A48" s="193" t="str">
        <f>"Utah % of Actual CY "&amp;YEAR(A3)-1&amp;" REC sales(2)"</f>
        <v>Utah % of Actual CY 2019 REC sales(2)</v>
      </c>
      <c r="B48" s="187"/>
      <c r="C48" s="187"/>
      <c r="D48" s="187"/>
      <c r="E48" s="194">
        <f>J44/E44</f>
        <v>0.59938677077701308</v>
      </c>
      <c r="F48" s="195" t="s">
        <v>88</v>
      </c>
      <c r="K48" s="196"/>
      <c r="L48" s="196"/>
      <c r="M48" s="196"/>
    </row>
    <row r="49" spans="1:6" x14ac:dyDescent="0.2">
      <c r="A49" s="3" t="str">
        <f>"Utah allocated CY "&amp;YEAR(A3)-1&amp;" REC revenue(2)"</f>
        <v>Utah allocated CY 2019 REC revenue(2)</v>
      </c>
      <c r="B49" s="187"/>
      <c r="C49" s="187"/>
      <c r="D49" s="187"/>
      <c r="E49" s="197">
        <f>E48*E44</f>
        <v>2904446.497177829</v>
      </c>
      <c r="F49" s="195" t="s">
        <v>89</v>
      </c>
    </row>
    <row r="50" spans="1:6" x14ac:dyDescent="0.2">
      <c r="A50" s="3"/>
      <c r="B50" s="187"/>
      <c r="C50" s="187"/>
      <c r="D50" s="187"/>
      <c r="E50" s="197"/>
      <c r="F50" s="195"/>
    </row>
    <row r="51" spans="1:6" x14ac:dyDescent="0.2">
      <c r="A51" s="3"/>
      <c r="B51" s="187"/>
      <c r="C51" s="187"/>
      <c r="D51" s="187"/>
    </row>
    <row r="52" spans="1:6" x14ac:dyDescent="0.2">
      <c r="A52" s="198"/>
      <c r="B52" s="187"/>
      <c r="C52" s="187"/>
      <c r="D52" s="199" t="s">
        <v>90</v>
      </c>
      <c r="E52" s="199" t="s">
        <v>30</v>
      </c>
    </row>
    <row r="53" spans="1:6" x14ac:dyDescent="0.2">
      <c r="A53" s="3" t="s">
        <v>91</v>
      </c>
      <c r="B53" s="187"/>
      <c r="C53" s="187"/>
      <c r="D53" s="187"/>
      <c r="E53" s="196">
        <v>6689.91</v>
      </c>
    </row>
    <row r="54" spans="1:6" x14ac:dyDescent="0.2">
      <c r="A54" s="3" t="s">
        <v>92</v>
      </c>
      <c r="B54" s="187"/>
      <c r="C54" s="187"/>
      <c r="D54" s="200">
        <f>'Page 2.2'!H43</f>
        <v>0.43457769882932634</v>
      </c>
      <c r="E54" s="201">
        <f>E53*D54</f>
        <v>2907.2856931752985</v>
      </c>
    </row>
    <row r="55" spans="1:6" x14ac:dyDescent="0.2">
      <c r="A55" s="3"/>
      <c r="B55" s="187"/>
      <c r="C55" s="187"/>
      <c r="D55" s="187"/>
    </row>
    <row r="104" spans="2:2" x14ac:dyDescent="0.2">
      <c r="B104" s="92">
        <f>EDATE(B101,1)</f>
        <v>31</v>
      </c>
    </row>
    <row r="105" spans="2:2" x14ac:dyDescent="0.2">
      <c r="B105" s="92">
        <f>EDATE(B104,1)</f>
        <v>59</v>
      </c>
    </row>
    <row r="106" spans="2:2" x14ac:dyDescent="0.2">
      <c r="B106" s="92">
        <f t="shared" ref="B106:B115" si="11">EDATE(B105,1)</f>
        <v>88</v>
      </c>
    </row>
    <row r="107" spans="2:2" x14ac:dyDescent="0.2">
      <c r="B107" s="92">
        <f t="shared" si="11"/>
        <v>119</v>
      </c>
    </row>
    <row r="108" spans="2:2" x14ac:dyDescent="0.2">
      <c r="B108" s="92">
        <f t="shared" si="11"/>
        <v>149</v>
      </c>
    </row>
    <row r="109" spans="2:2" x14ac:dyDescent="0.2">
      <c r="B109" s="92">
        <f t="shared" si="11"/>
        <v>180</v>
      </c>
    </row>
    <row r="110" spans="2:2" x14ac:dyDescent="0.2">
      <c r="B110" s="92">
        <f t="shared" si="11"/>
        <v>210</v>
      </c>
    </row>
    <row r="111" spans="2:2" x14ac:dyDescent="0.2">
      <c r="B111" s="92">
        <f t="shared" si="11"/>
        <v>241</v>
      </c>
    </row>
    <row r="112" spans="2:2" x14ac:dyDescent="0.2">
      <c r="B112" s="92">
        <f t="shared" si="11"/>
        <v>272</v>
      </c>
    </row>
    <row r="113" spans="2:2" x14ac:dyDescent="0.2">
      <c r="B113" s="92">
        <f t="shared" si="11"/>
        <v>302</v>
      </c>
    </row>
    <row r="114" spans="2:2" x14ac:dyDescent="0.2">
      <c r="B114" s="92">
        <f t="shared" si="11"/>
        <v>333</v>
      </c>
    </row>
    <row r="115" spans="2:2" x14ac:dyDescent="0.2">
      <c r="B115" s="92">
        <f t="shared" si="11"/>
        <v>363</v>
      </c>
    </row>
  </sheetData>
  <pageMargins left="0.5" right="0.5" top="1" bottom="0.75" header="0.3" footer="0.3"/>
  <pageSetup scale="63" orientation="landscape" r:id="rId1"/>
  <headerFooter>
    <oddFooter>&amp;C&amp;"Arial,Regular"&amp;10Page 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3"/>
  <sheetViews>
    <sheetView zoomScaleNormal="100" workbookViewId="0">
      <selection activeCell="B3" sqref="B3"/>
    </sheetView>
  </sheetViews>
  <sheetFormatPr defaultColWidth="9.140625" defaultRowHeight="12.75" x14ac:dyDescent="0.2"/>
  <cols>
    <col min="1" max="1" width="28.42578125" style="203" customWidth="1"/>
    <col min="2" max="2" width="11.42578125" style="203" customWidth="1"/>
    <col min="3" max="3" width="9.42578125" style="203" bestFit="1" customWidth="1"/>
    <col min="4" max="4" width="10.42578125" style="203" bestFit="1" customWidth="1"/>
    <col min="5" max="5" width="10.5703125" style="203" bestFit="1" customWidth="1"/>
    <col min="6" max="6" width="12.7109375" style="203" bestFit="1" customWidth="1"/>
    <col min="7" max="7" width="12.42578125" style="203" bestFit="1" customWidth="1"/>
    <col min="8" max="8" width="13.28515625" style="203" bestFit="1" customWidth="1"/>
    <col min="9" max="9" width="11.85546875" style="203" bestFit="1" customWidth="1"/>
    <col min="10" max="10" width="12.42578125" style="203" bestFit="1" customWidth="1"/>
    <col min="11" max="11" width="9.7109375" style="203" bestFit="1" customWidth="1"/>
    <col min="12" max="12" width="12.42578125" style="203" bestFit="1" customWidth="1"/>
    <col min="13" max="16384" width="9.140625" style="203"/>
  </cols>
  <sheetData>
    <row r="1" spans="1:21" ht="15.75" x14ac:dyDescent="0.25">
      <c r="A1" s="202" t="str">
        <f>'RMP_(THS-2)'!A1</f>
        <v>Rocky Mountain Power</v>
      </c>
      <c r="H1" s="204"/>
      <c r="I1" s="205"/>
    </row>
    <row r="2" spans="1:21" x14ac:dyDescent="0.2">
      <c r="A2" s="202" t="str">
        <f>'RMP_(THS-2)'!A2</f>
        <v>Utah REC Balancing Account</v>
      </c>
    </row>
    <row r="3" spans="1:21" ht="15.75" x14ac:dyDescent="0.25">
      <c r="A3" s="206" t="s">
        <v>115</v>
      </c>
      <c r="H3" s="204"/>
      <c r="I3" s="205"/>
    </row>
    <row r="4" spans="1:21" x14ac:dyDescent="0.2">
      <c r="C4" s="202"/>
    </row>
    <row r="5" spans="1:21" x14ac:dyDescent="0.2">
      <c r="A5" s="95" t="str">
        <f>"Calculation of Utah CY "&amp;YEAR(A3)-1&amp;" Actual Allocation Factors"</f>
        <v>Calculation of Utah CY 2019 Actual Allocation Factors</v>
      </c>
      <c r="C5" s="202"/>
    </row>
    <row r="6" spans="1:21" x14ac:dyDescent="0.2">
      <c r="N6" s="207"/>
      <c r="O6" s="207"/>
      <c r="P6" s="207"/>
      <c r="Q6" s="207"/>
      <c r="R6" s="207"/>
      <c r="S6" s="207"/>
    </row>
    <row r="7" spans="1:21" x14ac:dyDescent="0.2">
      <c r="A7" s="203" t="s">
        <v>93</v>
      </c>
      <c r="H7" s="208"/>
      <c r="N7" s="209"/>
      <c r="O7" s="209"/>
      <c r="P7" s="209"/>
      <c r="Q7" s="209"/>
      <c r="R7" s="209"/>
      <c r="S7" s="209"/>
      <c r="T7" s="209"/>
      <c r="U7" s="207"/>
    </row>
    <row r="8" spans="1:21" x14ac:dyDescent="0.2">
      <c r="A8" s="210" t="s">
        <v>94</v>
      </c>
      <c r="B8" s="210" t="s">
        <v>95</v>
      </c>
      <c r="C8" s="210" t="s">
        <v>96</v>
      </c>
      <c r="D8" s="210" t="s">
        <v>97</v>
      </c>
      <c r="E8" s="210" t="s">
        <v>98</v>
      </c>
      <c r="F8" s="210" t="s">
        <v>99</v>
      </c>
      <c r="G8" s="210" t="s">
        <v>100</v>
      </c>
      <c r="H8" s="210" t="s">
        <v>101</v>
      </c>
      <c r="I8" s="210" t="s">
        <v>102</v>
      </c>
      <c r="J8" s="210" t="s">
        <v>103</v>
      </c>
      <c r="K8" s="210" t="s">
        <v>81</v>
      </c>
      <c r="L8" s="210" t="s">
        <v>30</v>
      </c>
      <c r="N8" s="209"/>
      <c r="O8" s="209"/>
      <c r="P8" s="209"/>
      <c r="Q8" s="209"/>
      <c r="R8" s="209"/>
      <c r="S8" s="209"/>
      <c r="T8" s="209"/>
      <c r="U8" s="209"/>
    </row>
    <row r="9" spans="1:21" x14ac:dyDescent="0.2">
      <c r="A9" s="203">
        <f>YEAR($A$3)-1</f>
        <v>2019</v>
      </c>
      <c r="B9" s="203">
        <v>1</v>
      </c>
      <c r="C9" s="203">
        <v>2</v>
      </c>
      <c r="D9" s="203">
        <v>18</v>
      </c>
      <c r="E9" s="205">
        <v>123.018806</v>
      </c>
      <c r="F9" s="205">
        <v>2169.999065</v>
      </c>
      <c r="G9" s="205">
        <v>681.46019699999999</v>
      </c>
      <c r="H9" s="205">
        <v>3475.0899298249997</v>
      </c>
      <c r="I9" s="205">
        <v>482.31079899999997</v>
      </c>
      <c r="J9" s="205">
        <v>1253.4861170000001</v>
      </c>
      <c r="K9" s="211">
        <v>3.4344399999999986</v>
      </c>
      <c r="L9" s="205">
        <f t="shared" ref="L9:L20" si="0">SUM(E9:K9)</f>
        <v>8188.7993538249993</v>
      </c>
      <c r="N9" s="212"/>
      <c r="O9" s="207"/>
      <c r="P9" s="212"/>
      <c r="Q9" s="213"/>
      <c r="R9" s="212"/>
      <c r="S9" s="212"/>
      <c r="T9" s="212"/>
      <c r="U9" s="213"/>
    </row>
    <row r="10" spans="1:21" x14ac:dyDescent="0.2">
      <c r="A10" s="203">
        <f t="shared" ref="A10:A20" si="1">YEAR($A$3)-1</f>
        <v>2019</v>
      </c>
      <c r="B10" s="203">
        <v>2</v>
      </c>
      <c r="C10" s="203">
        <v>7</v>
      </c>
      <c r="D10" s="203">
        <v>8</v>
      </c>
      <c r="E10" s="205">
        <v>144.93231800000001</v>
      </c>
      <c r="F10" s="205">
        <v>2632.2183599999998</v>
      </c>
      <c r="G10" s="205">
        <v>894.710194</v>
      </c>
      <c r="H10" s="205">
        <v>3246.1791880000001</v>
      </c>
      <c r="I10" s="205">
        <v>379.12515400000001</v>
      </c>
      <c r="J10" s="205">
        <v>1303.6741139999999</v>
      </c>
      <c r="K10" s="211">
        <v>3.0204800000000032</v>
      </c>
      <c r="L10" s="205">
        <f t="shared" si="0"/>
        <v>8603.8598079999992</v>
      </c>
      <c r="N10" s="212"/>
      <c r="O10" s="207"/>
      <c r="P10" s="212"/>
      <c r="Q10" s="213"/>
      <c r="R10" s="212"/>
      <c r="S10" s="212"/>
      <c r="T10" s="212"/>
      <c r="U10" s="213"/>
    </row>
    <row r="11" spans="1:21" x14ac:dyDescent="0.2">
      <c r="A11" s="203">
        <f t="shared" si="1"/>
        <v>2019</v>
      </c>
      <c r="B11" s="203">
        <v>3</v>
      </c>
      <c r="C11" s="203">
        <v>4</v>
      </c>
      <c r="D11" s="203">
        <v>8</v>
      </c>
      <c r="E11" s="205">
        <v>125.84850299999999</v>
      </c>
      <c r="F11" s="205">
        <v>2517.5121399999998</v>
      </c>
      <c r="G11" s="205">
        <v>794.05742999999995</v>
      </c>
      <c r="H11" s="205">
        <v>3111.5260840000001</v>
      </c>
      <c r="I11" s="205">
        <v>406.27663899999999</v>
      </c>
      <c r="J11" s="205">
        <v>1259.6155289999999</v>
      </c>
      <c r="K11" s="211">
        <v>2.6678800000000011</v>
      </c>
      <c r="L11" s="205">
        <f t="shared" si="0"/>
        <v>8217.5042050000011</v>
      </c>
      <c r="N11" s="212"/>
      <c r="O11" s="207"/>
      <c r="P11" s="212"/>
      <c r="Q11" s="213"/>
      <c r="R11" s="212"/>
      <c r="S11" s="212"/>
      <c r="T11" s="212"/>
      <c r="U11" s="213"/>
    </row>
    <row r="12" spans="1:21" x14ac:dyDescent="0.2">
      <c r="A12" s="203">
        <f t="shared" si="1"/>
        <v>2019</v>
      </c>
      <c r="B12" s="203">
        <v>4</v>
      </c>
      <c r="C12" s="203">
        <v>10</v>
      </c>
      <c r="D12" s="203">
        <v>8</v>
      </c>
      <c r="E12" s="205">
        <v>118.53343</v>
      </c>
      <c r="F12" s="205">
        <v>1958.1241809999999</v>
      </c>
      <c r="G12" s="205">
        <v>550.45442200000002</v>
      </c>
      <c r="H12" s="205">
        <v>3027.9110470000001</v>
      </c>
      <c r="I12" s="205">
        <v>401.37452200000001</v>
      </c>
      <c r="J12" s="205">
        <v>1108.520094</v>
      </c>
      <c r="K12" s="211">
        <v>2.4239599999999992</v>
      </c>
      <c r="L12" s="205">
        <f t="shared" si="0"/>
        <v>7167.3416560000005</v>
      </c>
      <c r="N12" s="212"/>
      <c r="O12" s="207"/>
      <c r="P12" s="212"/>
      <c r="Q12" s="213"/>
      <c r="R12" s="212"/>
      <c r="S12" s="212"/>
      <c r="T12" s="212"/>
      <c r="U12" s="213"/>
    </row>
    <row r="13" spans="1:21" x14ac:dyDescent="0.2">
      <c r="A13" s="203">
        <f t="shared" si="1"/>
        <v>2019</v>
      </c>
      <c r="B13" s="203">
        <v>5</v>
      </c>
      <c r="C13" s="203">
        <v>13</v>
      </c>
      <c r="D13" s="203">
        <v>18</v>
      </c>
      <c r="E13" s="205">
        <v>105.095082</v>
      </c>
      <c r="F13" s="205">
        <v>1632.361238</v>
      </c>
      <c r="G13" s="205">
        <v>543.19303300000001</v>
      </c>
      <c r="H13" s="205">
        <v>3405.1442159999997</v>
      </c>
      <c r="I13" s="205">
        <v>485.47007400000001</v>
      </c>
      <c r="J13" s="205">
        <v>1137.463463</v>
      </c>
      <c r="K13" s="211">
        <v>2.1267599999999982</v>
      </c>
      <c r="L13" s="205">
        <f t="shared" si="0"/>
        <v>7310.8538659999995</v>
      </c>
      <c r="N13" s="212"/>
      <c r="O13" s="207"/>
      <c r="P13" s="212"/>
      <c r="Q13" s="213"/>
      <c r="R13" s="212"/>
      <c r="S13" s="212"/>
      <c r="T13" s="212"/>
      <c r="U13" s="213"/>
    </row>
    <row r="14" spans="1:21" x14ac:dyDescent="0.2">
      <c r="A14" s="203">
        <f t="shared" si="1"/>
        <v>2019</v>
      </c>
      <c r="B14" s="203">
        <v>6</v>
      </c>
      <c r="C14" s="203">
        <v>12</v>
      </c>
      <c r="D14" s="203">
        <v>17</v>
      </c>
      <c r="E14" s="205">
        <v>120.229544</v>
      </c>
      <c r="F14" s="205">
        <v>2384.6284439999999</v>
      </c>
      <c r="G14" s="205">
        <v>716.68087100000002</v>
      </c>
      <c r="H14" s="205">
        <v>3751.1442860000002</v>
      </c>
      <c r="I14" s="205">
        <v>622.492345</v>
      </c>
      <c r="J14" s="205">
        <v>1149.1995139999999</v>
      </c>
      <c r="K14" s="211">
        <v>2.5267199999999974</v>
      </c>
      <c r="L14" s="205">
        <f t="shared" si="0"/>
        <v>8746.9017239999994</v>
      </c>
      <c r="N14" s="212"/>
      <c r="O14" s="207"/>
      <c r="P14" s="212"/>
      <c r="Q14" s="213"/>
      <c r="R14" s="212"/>
      <c r="S14" s="212"/>
      <c r="T14" s="212"/>
      <c r="U14" s="213"/>
    </row>
    <row r="15" spans="1:21" x14ac:dyDescent="0.2">
      <c r="A15" s="203">
        <f t="shared" si="1"/>
        <v>2019</v>
      </c>
      <c r="B15" s="203">
        <v>7</v>
      </c>
      <c r="C15" s="203">
        <v>22</v>
      </c>
      <c r="D15" s="203">
        <v>17</v>
      </c>
      <c r="E15" s="205">
        <v>122.460381</v>
      </c>
      <c r="F15" s="205">
        <v>2276.3656510000001</v>
      </c>
      <c r="G15" s="205">
        <v>761.40754200000003</v>
      </c>
      <c r="H15" s="205">
        <v>5091.6484287499998</v>
      </c>
      <c r="I15" s="205">
        <v>726.17417</v>
      </c>
      <c r="J15" s="205">
        <v>1248.0174099999999</v>
      </c>
      <c r="K15" s="211">
        <v>3.8414399999999986</v>
      </c>
      <c r="L15" s="205">
        <f t="shared" si="0"/>
        <v>10229.915022750001</v>
      </c>
      <c r="N15" s="212"/>
      <c r="O15" s="207"/>
      <c r="P15" s="212"/>
      <c r="Q15" s="213"/>
      <c r="R15" s="212"/>
      <c r="S15" s="212"/>
      <c r="T15" s="212"/>
      <c r="U15" s="213"/>
    </row>
    <row r="16" spans="1:21" x14ac:dyDescent="0.2">
      <c r="A16" s="203">
        <f t="shared" si="1"/>
        <v>2019</v>
      </c>
      <c r="B16" s="203">
        <v>8</v>
      </c>
      <c r="C16" s="203">
        <v>5</v>
      </c>
      <c r="D16" s="203">
        <v>17</v>
      </c>
      <c r="E16" s="205">
        <v>131.955263</v>
      </c>
      <c r="F16" s="205">
        <v>2433.8738520000002</v>
      </c>
      <c r="G16" s="205">
        <v>766.61024399999997</v>
      </c>
      <c r="H16" s="205">
        <v>4863.5596815999997</v>
      </c>
      <c r="I16" s="205">
        <v>624.13068199999998</v>
      </c>
      <c r="J16" s="205">
        <v>1268.061925</v>
      </c>
      <c r="K16" s="211">
        <v>3.7085999999999983</v>
      </c>
      <c r="L16" s="205">
        <f t="shared" si="0"/>
        <v>10091.900247599999</v>
      </c>
      <c r="N16" s="212"/>
      <c r="O16" s="207"/>
      <c r="P16" s="212"/>
      <c r="Q16" s="213"/>
      <c r="R16" s="212"/>
      <c r="S16" s="212"/>
      <c r="T16" s="212"/>
      <c r="U16" s="213"/>
    </row>
    <row r="17" spans="1:21" x14ac:dyDescent="0.2">
      <c r="A17" s="203">
        <f t="shared" si="1"/>
        <v>2019</v>
      </c>
      <c r="B17" s="203">
        <v>9</v>
      </c>
      <c r="C17" s="203">
        <v>5</v>
      </c>
      <c r="D17" s="203">
        <v>17</v>
      </c>
      <c r="E17" s="205">
        <v>113.01401300000001</v>
      </c>
      <c r="F17" s="205">
        <v>2198.3680559999998</v>
      </c>
      <c r="G17" s="205">
        <v>685.26397599999996</v>
      </c>
      <c r="H17" s="205">
        <v>4727.5195741999996</v>
      </c>
      <c r="I17" s="205">
        <v>576.52952700000003</v>
      </c>
      <c r="J17" s="205">
        <v>1310.599424</v>
      </c>
      <c r="K17" s="211">
        <v>3.5561600000000033</v>
      </c>
      <c r="L17" s="205">
        <f t="shared" si="0"/>
        <v>9614.8507301999998</v>
      </c>
      <c r="N17" s="212"/>
      <c r="O17" s="207"/>
      <c r="P17" s="212"/>
      <c r="Q17" s="213"/>
      <c r="R17" s="212"/>
      <c r="S17" s="212"/>
      <c r="T17" s="212"/>
      <c r="U17" s="213"/>
    </row>
    <row r="18" spans="1:21" x14ac:dyDescent="0.2">
      <c r="A18" s="203">
        <f t="shared" si="1"/>
        <v>2019</v>
      </c>
      <c r="B18" s="203">
        <v>10</v>
      </c>
      <c r="C18" s="203">
        <v>30</v>
      </c>
      <c r="D18" s="203">
        <v>8</v>
      </c>
      <c r="E18" s="205">
        <v>119.980548</v>
      </c>
      <c r="F18" s="205">
        <v>2381.797313</v>
      </c>
      <c r="G18" s="205">
        <v>773.58960400000001</v>
      </c>
      <c r="H18" s="205">
        <v>3251.9073949999997</v>
      </c>
      <c r="I18" s="205">
        <v>463.57191899999998</v>
      </c>
      <c r="J18" s="205">
        <v>1280.498218</v>
      </c>
      <c r="K18" s="211">
        <v>3.0732400000000015</v>
      </c>
      <c r="L18" s="205">
        <f t="shared" si="0"/>
        <v>8274.4182369999999</v>
      </c>
      <c r="N18" s="212"/>
      <c r="O18" s="207"/>
      <c r="P18" s="212"/>
      <c r="Q18" s="213"/>
      <c r="R18" s="212"/>
      <c r="S18" s="212"/>
      <c r="T18" s="212"/>
      <c r="U18" s="213"/>
    </row>
    <row r="19" spans="1:21" x14ac:dyDescent="0.2">
      <c r="A19" s="203">
        <f t="shared" si="1"/>
        <v>2019</v>
      </c>
      <c r="B19" s="203">
        <v>11</v>
      </c>
      <c r="C19" s="203">
        <v>26</v>
      </c>
      <c r="D19" s="203">
        <v>18</v>
      </c>
      <c r="E19" s="205">
        <v>118.888588</v>
      </c>
      <c r="F19" s="205">
        <v>2261.54889</v>
      </c>
      <c r="G19" s="205">
        <v>662.86292800000001</v>
      </c>
      <c r="H19" s="205">
        <v>3389.206666</v>
      </c>
      <c r="I19" s="205">
        <v>424.43387000000001</v>
      </c>
      <c r="J19" s="205">
        <v>1221.4969740000001</v>
      </c>
      <c r="K19" s="211">
        <v>2.9575999999999985</v>
      </c>
      <c r="L19" s="205">
        <f t="shared" si="0"/>
        <v>8081.3955160000005</v>
      </c>
      <c r="N19" s="212"/>
      <c r="O19" s="207"/>
      <c r="P19" s="212"/>
      <c r="Q19" s="213"/>
      <c r="R19" s="212"/>
      <c r="S19" s="212"/>
      <c r="T19" s="212"/>
      <c r="U19" s="213"/>
    </row>
    <row r="20" spans="1:21" x14ac:dyDescent="0.2">
      <c r="A20" s="203">
        <f t="shared" si="1"/>
        <v>2019</v>
      </c>
      <c r="B20" s="203">
        <v>12</v>
      </c>
      <c r="C20" s="203">
        <v>17</v>
      </c>
      <c r="D20" s="203">
        <v>18</v>
      </c>
      <c r="E20" s="205">
        <v>127.35470599999999</v>
      </c>
      <c r="F20" s="205">
        <v>2302.536177</v>
      </c>
      <c r="G20" s="205">
        <v>733.69107099999997</v>
      </c>
      <c r="H20" s="205">
        <v>3396.9333235250001</v>
      </c>
      <c r="I20" s="205">
        <v>519.51646400000004</v>
      </c>
      <c r="J20" s="205">
        <v>1308.614677</v>
      </c>
      <c r="K20" s="211">
        <v>3.3627599999999997</v>
      </c>
      <c r="L20" s="205">
        <f t="shared" si="0"/>
        <v>8392.0091785250006</v>
      </c>
      <c r="N20" s="212"/>
      <c r="O20" s="207"/>
      <c r="P20" s="212"/>
      <c r="Q20" s="213"/>
      <c r="R20" s="212"/>
      <c r="S20" s="212"/>
      <c r="T20" s="212"/>
      <c r="U20" s="213"/>
    </row>
    <row r="21" spans="1:21" ht="13.5" thickBot="1" x14ac:dyDescent="0.25">
      <c r="B21" s="203" t="s">
        <v>104</v>
      </c>
      <c r="E21" s="214">
        <f>SUM(E9:E20)</f>
        <v>1471.3111820000001</v>
      </c>
      <c r="F21" s="214">
        <f>SUM(F9:F20)</f>
        <v>27149.333366999999</v>
      </c>
      <c r="G21" s="214">
        <f>SUM(G9:G20)</f>
        <v>8563.9815119999985</v>
      </c>
      <c r="H21" s="214">
        <f t="shared" ref="H21:K21" si="2">SUM(H9:H20)</f>
        <v>44737.769819899993</v>
      </c>
      <c r="I21" s="214">
        <f>SUM(I9:I20)</f>
        <v>6111.4061649999994</v>
      </c>
      <c r="J21" s="214">
        <f t="shared" si="2"/>
        <v>14849.247459</v>
      </c>
      <c r="K21" s="214">
        <f t="shared" si="2"/>
        <v>36.700039999999994</v>
      </c>
      <c r="L21" s="214">
        <f>SUM(L9:L20)</f>
        <v>102919.7495449</v>
      </c>
      <c r="N21" s="212"/>
      <c r="O21" s="207"/>
      <c r="P21" s="212"/>
      <c r="Q21" s="213"/>
      <c r="R21" s="212"/>
      <c r="S21" s="212"/>
      <c r="T21" s="212"/>
      <c r="U21" s="213"/>
    </row>
    <row r="22" spans="1:21" ht="13.5" thickTop="1" x14ac:dyDescent="0.2">
      <c r="L22" s="215"/>
      <c r="N22" s="207"/>
      <c r="O22" s="207"/>
      <c r="P22" s="207"/>
      <c r="Q22" s="207"/>
      <c r="R22" s="207"/>
      <c r="S22" s="207"/>
      <c r="T22" s="207"/>
      <c r="U22" s="207"/>
    </row>
    <row r="23" spans="1:21" x14ac:dyDescent="0.2">
      <c r="A23" s="203" t="s">
        <v>105</v>
      </c>
      <c r="E23" s="216">
        <f>E21/$L$21</f>
        <v>1.4295712810281594E-2</v>
      </c>
      <c r="F23" s="216">
        <f>F21/$L$21</f>
        <v>0.26379128871816554</v>
      </c>
      <c r="G23" s="216">
        <f>G21/$L$21</f>
        <v>8.3210283253398867E-2</v>
      </c>
      <c r="H23" s="216">
        <f t="shared" ref="H23:K23" si="3">H21/$L$21</f>
        <v>0.43468595694923057</v>
      </c>
      <c r="I23" s="216">
        <f>I21/$L$21</f>
        <v>5.9380305451810528E-2</v>
      </c>
      <c r="J23" s="216">
        <f t="shared" si="3"/>
        <v>0.14427986391981876</v>
      </c>
      <c r="K23" s="216">
        <f t="shared" si="3"/>
        <v>3.5658889729409175E-4</v>
      </c>
      <c r="L23" s="216">
        <f>SUM(E23:K23)</f>
        <v>0.99999999999999989</v>
      </c>
      <c r="N23" s="217"/>
      <c r="O23" s="207"/>
      <c r="P23" s="207"/>
      <c r="Q23" s="218"/>
      <c r="R23" s="207"/>
      <c r="S23" s="207"/>
      <c r="T23" s="207"/>
      <c r="U23" s="207"/>
    </row>
    <row r="24" spans="1:21" x14ac:dyDescent="0.2">
      <c r="E24" s="219"/>
      <c r="F24" s="219"/>
      <c r="G24" s="219"/>
      <c r="H24" s="219"/>
      <c r="I24" s="219"/>
      <c r="J24" s="219"/>
      <c r="K24" s="219"/>
    </row>
    <row r="26" spans="1:21" x14ac:dyDescent="0.2">
      <c r="A26" s="203" t="s">
        <v>106</v>
      </c>
      <c r="F26" s="208"/>
      <c r="K26" s="220"/>
      <c r="L26" s="220"/>
    </row>
    <row r="27" spans="1:21" x14ac:dyDescent="0.2">
      <c r="A27" s="210" t="s">
        <v>94</v>
      </c>
      <c r="B27" s="210" t="s">
        <v>95</v>
      </c>
      <c r="E27" s="210" t="s">
        <v>98</v>
      </c>
      <c r="F27" s="210" t="s">
        <v>99</v>
      </c>
      <c r="G27" s="210" t="s">
        <v>100</v>
      </c>
      <c r="H27" s="210" t="s">
        <v>101</v>
      </c>
      <c r="I27" s="210" t="s">
        <v>102</v>
      </c>
      <c r="J27" s="210" t="s">
        <v>103</v>
      </c>
      <c r="K27" s="210" t="s">
        <v>81</v>
      </c>
      <c r="L27" s="210" t="s">
        <v>30</v>
      </c>
    </row>
    <row r="28" spans="1:21" x14ac:dyDescent="0.2">
      <c r="A28" s="203">
        <f t="shared" ref="A28:A39" si="4">YEAR($A$3)-1</f>
        <v>2019</v>
      </c>
      <c r="B28" s="203">
        <v>1</v>
      </c>
      <c r="E28" s="221">
        <v>72438.519737999988</v>
      </c>
      <c r="F28" s="221">
        <v>1343148.5959299991</v>
      </c>
      <c r="G28" s="221">
        <v>428439.80447799992</v>
      </c>
      <c r="H28" s="221">
        <v>2225204.9546752754</v>
      </c>
      <c r="I28" s="221">
        <v>291330.18686500005</v>
      </c>
      <c r="J28" s="221">
        <v>873310.20240900095</v>
      </c>
      <c r="K28" s="221">
        <v>1971.3159999999962</v>
      </c>
      <c r="L28" s="221">
        <f>SUM(E28:K28)</f>
        <v>5235843.5800952753</v>
      </c>
      <c r="M28" s="221"/>
    </row>
    <row r="29" spans="1:21" x14ac:dyDescent="0.2">
      <c r="A29" s="203">
        <f t="shared" si="4"/>
        <v>2019</v>
      </c>
      <c r="B29" s="203">
        <v>2</v>
      </c>
      <c r="E29" s="221">
        <v>72424.125280999957</v>
      </c>
      <c r="F29" s="221">
        <v>1317556.3117880009</v>
      </c>
      <c r="G29" s="221">
        <v>425635.46321899933</v>
      </c>
      <c r="H29" s="221">
        <v>1975055.4828939978</v>
      </c>
      <c r="I29" s="221">
        <v>256030.06063600024</v>
      </c>
      <c r="J29" s="221">
        <v>817761.88024700084</v>
      </c>
      <c r="K29" s="221">
        <v>1689.6334399999344</v>
      </c>
      <c r="L29" s="221">
        <f t="shared" ref="L29:L39" si="5">SUM(E29:K29)</f>
        <v>4866152.9575049989</v>
      </c>
    </row>
    <row r="30" spans="1:21" x14ac:dyDescent="0.2">
      <c r="A30" s="203">
        <f t="shared" si="4"/>
        <v>2019</v>
      </c>
      <c r="B30" s="203">
        <v>3</v>
      </c>
      <c r="E30" s="221">
        <v>69250.026284000036</v>
      </c>
      <c r="F30" s="221">
        <v>1270848.5721329995</v>
      </c>
      <c r="G30" s="221">
        <v>393384.54105000006</v>
      </c>
      <c r="H30" s="221">
        <v>2029492.2469019999</v>
      </c>
      <c r="I30" s="221">
        <v>247492.67316099996</v>
      </c>
      <c r="J30" s="221">
        <v>851498.40991400019</v>
      </c>
      <c r="K30" s="221">
        <v>1631.4615999999717</v>
      </c>
      <c r="L30" s="221">
        <f t="shared" si="5"/>
        <v>4863597.9310440002</v>
      </c>
    </row>
    <row r="31" spans="1:21" x14ac:dyDescent="0.2">
      <c r="A31" s="203">
        <f t="shared" si="4"/>
        <v>2019</v>
      </c>
      <c r="B31" s="203">
        <v>4</v>
      </c>
      <c r="E31" s="221">
        <v>56867.369546000045</v>
      </c>
      <c r="F31" s="221">
        <v>1058807.4253649998</v>
      </c>
      <c r="G31" s="221">
        <v>303385.2970089998</v>
      </c>
      <c r="H31" s="221">
        <v>1884023.2235360013</v>
      </c>
      <c r="I31" s="221">
        <v>267400.05880200025</v>
      </c>
      <c r="J31" s="221">
        <v>795217.75186800037</v>
      </c>
      <c r="K31" s="221">
        <v>1398.1255199999921</v>
      </c>
      <c r="L31" s="221">
        <f t="shared" si="5"/>
        <v>4367099.2516460018</v>
      </c>
    </row>
    <row r="32" spans="1:21" x14ac:dyDescent="0.2">
      <c r="A32" s="203">
        <f t="shared" si="4"/>
        <v>2019</v>
      </c>
      <c r="B32" s="203">
        <v>5</v>
      </c>
      <c r="E32" s="221">
        <v>64849.967829999943</v>
      </c>
      <c r="F32" s="221">
        <v>1049024.6773169988</v>
      </c>
      <c r="G32" s="221">
        <v>320262.45056800032</v>
      </c>
      <c r="H32" s="221">
        <v>1950262.862907002</v>
      </c>
      <c r="I32" s="221">
        <v>302457.10269799997</v>
      </c>
      <c r="J32" s="221">
        <v>811103.15230299998</v>
      </c>
      <c r="K32" s="221">
        <v>1412.8174400000014</v>
      </c>
      <c r="L32" s="221">
        <f t="shared" si="5"/>
        <v>4499373.0310630016</v>
      </c>
    </row>
    <row r="33" spans="1:12" x14ac:dyDescent="0.2">
      <c r="A33" s="203">
        <f t="shared" si="4"/>
        <v>2019</v>
      </c>
      <c r="B33" s="203">
        <v>6</v>
      </c>
      <c r="E33" s="221">
        <v>68523.490610000066</v>
      </c>
      <c r="F33" s="221">
        <v>1099297.0946110003</v>
      </c>
      <c r="G33" s="221">
        <v>352262.46793399967</v>
      </c>
      <c r="H33" s="221">
        <v>2117631.3841121742</v>
      </c>
      <c r="I33" s="221">
        <v>399478.75776200031</v>
      </c>
      <c r="J33" s="221">
        <v>796681.00752800074</v>
      </c>
      <c r="K33" s="221">
        <v>1438.0397599999719</v>
      </c>
      <c r="L33" s="221">
        <f t="shared" si="5"/>
        <v>4835312.2423171755</v>
      </c>
    </row>
    <row r="34" spans="1:12" x14ac:dyDescent="0.2">
      <c r="A34" s="203">
        <f t="shared" si="4"/>
        <v>2019</v>
      </c>
      <c r="B34" s="203">
        <v>7</v>
      </c>
      <c r="E34" s="221">
        <v>77044.261910000074</v>
      </c>
      <c r="F34" s="221">
        <v>1199717.8049980013</v>
      </c>
      <c r="G34" s="221">
        <v>384549.64201299992</v>
      </c>
      <c r="H34" s="221">
        <v>2636775.4321630751</v>
      </c>
      <c r="I34" s="221">
        <v>491100.5922969997</v>
      </c>
      <c r="J34" s="221">
        <v>838897.59445900063</v>
      </c>
      <c r="K34" s="221">
        <v>1926.6483960000053</v>
      </c>
      <c r="L34" s="221">
        <f t="shared" si="5"/>
        <v>5630011.976236078</v>
      </c>
    </row>
    <row r="35" spans="1:12" x14ac:dyDescent="0.2">
      <c r="A35" s="203">
        <f t="shared" si="4"/>
        <v>2019</v>
      </c>
      <c r="B35" s="203">
        <v>8</v>
      </c>
      <c r="E35" s="221">
        <v>77313.853068000011</v>
      </c>
      <c r="F35" s="221">
        <v>1240290.2854809999</v>
      </c>
      <c r="G35" s="221">
        <v>397700.49479300028</v>
      </c>
      <c r="H35" s="221">
        <v>2593415.5666887006</v>
      </c>
      <c r="I35" s="221">
        <v>388012.08092499996</v>
      </c>
      <c r="J35" s="221">
        <v>855281.63845999935</v>
      </c>
      <c r="K35" s="221">
        <v>1922.9534400000161</v>
      </c>
      <c r="L35" s="221">
        <f t="shared" si="5"/>
        <v>5553936.8728557006</v>
      </c>
    </row>
    <row r="36" spans="1:12" x14ac:dyDescent="0.2">
      <c r="A36" s="203">
        <f t="shared" si="4"/>
        <v>2019</v>
      </c>
      <c r="B36" s="203">
        <v>9</v>
      </c>
      <c r="E36" s="221">
        <v>57894.711387000083</v>
      </c>
      <c r="F36" s="221">
        <v>1069706.7608229991</v>
      </c>
      <c r="G36" s="221">
        <v>352038.68114200019</v>
      </c>
      <c r="H36" s="221">
        <v>2129669.5444750246</v>
      </c>
      <c r="I36" s="221">
        <v>313342.93924199964</v>
      </c>
      <c r="J36" s="221">
        <v>803692.62013599998</v>
      </c>
      <c r="K36" s="221">
        <v>1523.6114400000199</v>
      </c>
      <c r="L36" s="221">
        <f t="shared" si="5"/>
        <v>4727868.8686450236</v>
      </c>
    </row>
    <row r="37" spans="1:12" x14ac:dyDescent="0.2">
      <c r="A37" s="203">
        <f t="shared" si="4"/>
        <v>2019</v>
      </c>
      <c r="B37" s="203">
        <v>10</v>
      </c>
      <c r="E37" s="221">
        <v>59594.335264000074</v>
      </c>
      <c r="F37" s="221">
        <v>1152835.3749199994</v>
      </c>
      <c r="G37" s="221">
        <v>371995.61411899998</v>
      </c>
      <c r="H37" s="221">
        <v>1983669.7774959984</v>
      </c>
      <c r="I37" s="221">
        <v>299336.20816400007</v>
      </c>
      <c r="J37" s="221">
        <v>828410.11271899939</v>
      </c>
      <c r="K37" s="221">
        <v>1516.0458399999663</v>
      </c>
      <c r="L37" s="221">
        <f t="shared" si="5"/>
        <v>4697357.4685219973</v>
      </c>
    </row>
    <row r="38" spans="1:12" x14ac:dyDescent="0.2">
      <c r="A38" s="203">
        <f t="shared" si="4"/>
        <v>2019</v>
      </c>
      <c r="B38" s="203">
        <v>11</v>
      </c>
      <c r="E38" s="221">
        <v>65290.204286999964</v>
      </c>
      <c r="F38" s="221">
        <v>1210110.7069720002</v>
      </c>
      <c r="G38" s="221">
        <v>393483.20121999993</v>
      </c>
      <c r="H38" s="221">
        <v>2018321.1551930015</v>
      </c>
      <c r="I38" s="221">
        <v>257398.68076699981</v>
      </c>
      <c r="J38" s="221">
        <v>812846.810956</v>
      </c>
      <c r="K38" s="221">
        <v>1634.3286000000201</v>
      </c>
      <c r="L38" s="221">
        <f t="shared" si="5"/>
        <v>4759085.0879950011</v>
      </c>
    </row>
    <row r="39" spans="1:12" x14ac:dyDescent="0.2">
      <c r="A39" s="203">
        <f t="shared" si="4"/>
        <v>2019</v>
      </c>
      <c r="B39" s="203">
        <v>12</v>
      </c>
      <c r="E39" s="221">
        <v>74267.694396999999</v>
      </c>
      <c r="F39" s="221">
        <v>1341876.0836230002</v>
      </c>
      <c r="G39" s="221">
        <v>436258.24481499998</v>
      </c>
      <c r="H39" s="221">
        <v>2202281.9979030252</v>
      </c>
      <c r="I39" s="221">
        <v>317628.79081100039</v>
      </c>
      <c r="J39" s="221">
        <v>877633.30364499975</v>
      </c>
      <c r="K39" s="221">
        <v>1991.4602399999983</v>
      </c>
      <c r="L39" s="221">
        <f t="shared" si="5"/>
        <v>5251937.5754340254</v>
      </c>
    </row>
    <row r="40" spans="1:12" ht="13.5" thickBot="1" x14ac:dyDescent="0.25">
      <c r="B40" s="203" t="s">
        <v>107</v>
      </c>
      <c r="E40" s="222">
        <f>SUM(E28:E39)</f>
        <v>815758.55960200017</v>
      </c>
      <c r="F40" s="222">
        <f>SUM(F28:F39)</f>
        <v>14353219.693960998</v>
      </c>
      <c r="G40" s="222">
        <f>SUM(G28:G39)</f>
        <v>4559395.9023599997</v>
      </c>
      <c r="H40" s="222">
        <f t="shared" ref="H40:L40" si="6">SUM(H28:H39)</f>
        <v>25745803.62894528</v>
      </c>
      <c r="I40" s="222">
        <f>SUM(I28:I39)</f>
        <v>3831008.1321300003</v>
      </c>
      <c r="J40" s="222">
        <f t="shared" si="6"/>
        <v>9962334.4846440013</v>
      </c>
      <c r="K40" s="222">
        <f t="shared" si="6"/>
        <v>20056.441715999892</v>
      </c>
      <c r="L40" s="222">
        <f t="shared" si="6"/>
        <v>59287576.843358278</v>
      </c>
    </row>
    <row r="41" spans="1:12" ht="14.25" thickTop="1" thickBot="1" x14ac:dyDescent="0.25">
      <c r="C41" s="221"/>
      <c r="D41" s="221"/>
      <c r="E41" s="221"/>
      <c r="F41" s="221"/>
      <c r="G41" s="221"/>
      <c r="H41" s="221"/>
      <c r="I41" s="221"/>
    </row>
    <row r="42" spans="1:12" x14ac:dyDescent="0.2">
      <c r="A42" s="203" t="s">
        <v>108</v>
      </c>
      <c r="E42" s="216">
        <f>E40/$L$40</f>
        <v>1.3759350660548812E-2</v>
      </c>
      <c r="F42" s="216">
        <f>F40/$L$40</f>
        <v>0.24209489505504939</v>
      </c>
      <c r="G42" s="216">
        <f>G40/$L$40</f>
        <v>7.6903057016585896E-2</v>
      </c>
      <c r="H42" s="223">
        <f t="shared" ref="H42:K42" si="7">H40/$L$40</f>
        <v>0.43425292446961367</v>
      </c>
      <c r="I42" s="216">
        <f>I40/$L$40</f>
        <v>6.461738421611965E-2</v>
      </c>
      <c r="J42" s="216">
        <f t="shared" si="7"/>
        <v>0.16803409778350617</v>
      </c>
      <c r="K42" s="216">
        <f t="shared" si="7"/>
        <v>3.3829079857640909E-4</v>
      </c>
      <c r="L42" s="224">
        <f>SUM(E42:K42)</f>
        <v>1</v>
      </c>
    </row>
    <row r="43" spans="1:12" ht="13.5" thickBot="1" x14ac:dyDescent="0.25">
      <c r="A43" s="203" t="s">
        <v>109</v>
      </c>
      <c r="E43" s="216">
        <f>(E42*0.25)+(E23*0.75)</f>
        <v>1.4161622272848399E-2</v>
      </c>
      <c r="F43" s="216">
        <f>(F42*0.25)+(F23*0.75)</f>
        <v>0.25836719030238653</v>
      </c>
      <c r="G43" s="216">
        <f>(G42*0.25)+(G23*0.75)</f>
        <v>8.1633476694195628E-2</v>
      </c>
      <c r="H43" s="225">
        <f t="shared" ref="H43:K43" si="8">(H42*0.25)+(H23*0.75)</f>
        <v>0.43457769882932634</v>
      </c>
      <c r="I43" s="216">
        <f>(I42*0.25)+(I23*0.75)</f>
        <v>6.0689575142887808E-2</v>
      </c>
      <c r="J43" s="216">
        <f>(J42*0.25)+(J23*0.75)</f>
        <v>0.15021842238574062</v>
      </c>
      <c r="K43" s="216">
        <f t="shared" si="8"/>
        <v>3.520143726146711E-4</v>
      </c>
      <c r="L43" s="224">
        <f>SUM(E43:K43)</f>
        <v>0.99999999999999989</v>
      </c>
    </row>
  </sheetData>
  <pageMargins left="0.7" right="0.7" top="0.75" bottom="0.75" header="0.3" footer="0.3"/>
  <pageSetup scale="78" orientation="landscape" r:id="rId1"/>
  <headerFooter>
    <oddFooter>&amp;C&amp;"Arial,Regular"&amp;10Page 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Index</vt:lpstr>
      <vt:lpstr>RMP_(THS-1)</vt:lpstr>
      <vt:lpstr>RMP_(THS-2)</vt:lpstr>
      <vt:lpstr>Page 2.1</vt:lpstr>
      <vt:lpstr>Page 2.2</vt:lpstr>
      <vt:lpstr>'Page 2.1'!Print_Area</vt:lpstr>
      <vt:lpstr>'Page 2.2'!Print_Area</vt:lpstr>
      <vt:lpstr>'RMP_(THS-1)'!Print_Area</vt:lpstr>
      <vt:lpstr>'RMP_(THS-2)'!Print_Area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Spackman, Terrell</dc:creator>
  <cp:lastModifiedBy>Saba, Jana</cp:lastModifiedBy>
  <cp:lastPrinted>2020-03-06T22:28:03Z</cp:lastPrinted>
  <dcterms:created xsi:type="dcterms:W3CDTF">2020-03-06T22:22:36Z</dcterms:created>
  <dcterms:modified xsi:type="dcterms:W3CDTF">2020-03-13T19:08:28Z</dcterms:modified>
</cp:coreProperties>
</file>